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5970" windowHeight="6135" tabRatio="957" firstSheet="6" activeTab="13"/>
  </bookViews>
  <sheets>
    <sheet name="check" sheetId="1" r:id="rId1"/>
    <sheet name="data" sheetId="2" r:id="rId2"/>
    <sheet name="預算書總表" sheetId="3" r:id="rId3"/>
    <sheet name="第一號明細表" sheetId="4" r:id="rId4"/>
    <sheet name="第二號明細表" sheetId="5" r:id="rId5"/>
    <sheet name="第三號明細表" sheetId="6" r:id="rId6"/>
    <sheet name="第四號明細表" sheetId="7" r:id="rId7"/>
    <sheet name="第五號明細表" sheetId="8" r:id="rId8"/>
    <sheet name="第六號明細表" sheetId="9" r:id="rId9"/>
    <sheet name="土方" sheetId="10" r:id="rId10"/>
    <sheet name="單價分析表" sheetId="11" r:id="rId11"/>
    <sheet name="丙表" sheetId="12" r:id="rId12"/>
    <sheet name="數量計算" sheetId="13" r:id="rId13"/>
    <sheet name="進度表" sheetId="14" r:id="rId14"/>
    <sheet name="Sheet" sheetId="15" r:id="rId15"/>
    <sheet name="緣由" sheetId="16" state="hidden" r:id="rId16"/>
  </sheets>
  <externalReferences>
    <externalReference r:id="rId19"/>
    <externalReference r:id="rId20"/>
  </externalReferences>
  <definedNames>
    <definedName name="\a" localSheetId="11">'[1]數量計算表(乙)'!#REF!</definedName>
    <definedName name="\a">'[1]數量計算表(乙)'!#REF!</definedName>
    <definedName name="_Regression_Int" hidden="1">1</definedName>
    <definedName name="_xlnm.Print_Area" localSheetId="9">'土方'!$A$1:$K$178</definedName>
    <definedName name="_xlnm.Print_Area" localSheetId="11">'丙表'!$A$1:$H$182</definedName>
    <definedName name="_xlnm.Print_Area" localSheetId="3">'第一號明細表'!$A$1:$G$86</definedName>
    <definedName name="_xlnm.Print_Area" localSheetId="4">'第二號明細表'!$A$1:$G$58</definedName>
    <definedName name="_xlnm.Print_Area" localSheetId="8">'第六號明細表'!$A$1:$G$58</definedName>
    <definedName name="_xlnm.Print_Area" localSheetId="10">'單價分析表'!$A$1:$H$1008</definedName>
    <definedName name="_xlnm.Print_Area" localSheetId="13">'進度表'!$A$1:$AB$89</definedName>
    <definedName name="_xlnm.Print_Area" localSheetId="12">'數量計算'!$A$1:$F$323</definedName>
    <definedName name="Print_Area_MI">#REF!</definedName>
  </definedNames>
  <calcPr fullCalcOnLoad="1" fullPrecision="0"/>
</workbook>
</file>

<file path=xl/sharedStrings.xml><?xml version="1.0" encoding="utf-8"?>
<sst xmlns="http://schemas.openxmlformats.org/spreadsheetml/2006/main" count="4330" uniqueCount="1494">
  <si>
    <t>共32頁  第32頁</t>
  </si>
  <si>
    <t>共32頁  第31頁</t>
  </si>
  <si>
    <t>共321頁  第30頁</t>
  </si>
  <si>
    <t>共32頁  第29頁</t>
  </si>
  <si>
    <t>共32頁  第28頁</t>
  </si>
  <si>
    <t>共32頁  第27頁</t>
  </si>
  <si>
    <t>共32頁  第26頁</t>
  </si>
  <si>
    <t>共32頁  第25頁</t>
  </si>
  <si>
    <t>共32頁  第24頁</t>
  </si>
  <si>
    <t>共32頁  第23頁</t>
  </si>
  <si>
    <t>共32頁  第22頁</t>
  </si>
  <si>
    <t>共32頁  第21頁</t>
  </si>
  <si>
    <t>共32頁  第20頁</t>
  </si>
  <si>
    <t>共32頁  第19頁</t>
  </si>
  <si>
    <t>共32頁  第18頁</t>
  </si>
  <si>
    <t>共32頁  第17頁</t>
  </si>
  <si>
    <t>共32頁  第16頁</t>
  </si>
  <si>
    <t>共32頁  第15頁</t>
  </si>
  <si>
    <t>共32頁  第14頁</t>
  </si>
  <si>
    <t>共32頁  第13頁</t>
  </si>
  <si>
    <t>共32頁  第12頁</t>
  </si>
  <si>
    <t>共32頁  第11頁</t>
  </si>
  <si>
    <t>共32頁  第10頁</t>
  </si>
  <si>
    <t>共32頁  第9頁</t>
  </si>
  <si>
    <t>共32頁  第8頁</t>
  </si>
  <si>
    <t>共32頁  第7頁</t>
  </si>
  <si>
    <t>共32頁  第6頁</t>
  </si>
  <si>
    <t>共32頁  第5頁</t>
  </si>
  <si>
    <t>共32頁  第4頁</t>
  </si>
  <si>
    <t>共32頁  第3頁</t>
  </si>
  <si>
    <t>共32頁  第2頁</t>
  </si>
  <si>
    <t>共32頁  第1頁</t>
  </si>
  <si>
    <t>共 11頁 第 11 頁</t>
  </si>
  <si>
    <t xml:space="preserve"> kg </t>
  </si>
  <si>
    <t xml:space="preserve"> kg </t>
  </si>
  <si>
    <t xml:space="preserve"> kg </t>
  </si>
  <si>
    <t>m3</t>
  </si>
  <si>
    <t>m</t>
  </si>
  <si>
    <t>台灣巒樹</t>
  </si>
  <si>
    <t>6.5*408=2652</t>
  </si>
  <si>
    <t>0.2*0.4</t>
  </si>
  <si>
    <t>6*408=2448</t>
  </si>
  <si>
    <r>
      <t>（428.5-120.56+99.24）/5</t>
    </r>
    <r>
      <rPr>
        <sz val="12"/>
        <rFont val="新細明體"/>
        <family val="1"/>
      </rPr>
      <t>≒</t>
    </r>
    <r>
      <rPr>
        <sz val="12"/>
        <rFont val="標楷體"/>
        <family val="4"/>
      </rPr>
      <t>82</t>
    </r>
  </si>
  <si>
    <t>408-82=326</t>
  </si>
  <si>
    <t>H≒3.5m,W≒1.5cm,φ≒8cm</t>
  </si>
  <si>
    <t>1：3水泥砂漿</t>
  </si>
  <si>
    <t>填縫細沙</t>
  </si>
  <si>
    <t>技術工</t>
  </si>
  <si>
    <t>其他損耗</t>
  </si>
  <si>
    <t>式</t>
  </si>
  <si>
    <r>
      <t>M</t>
    </r>
    <r>
      <rPr>
        <vertAlign val="superscript"/>
        <sz val="10"/>
        <rFont val="標楷體"/>
        <family val="4"/>
      </rPr>
      <t>2</t>
    </r>
  </si>
  <si>
    <t>高壓彩色連鎖地磚</t>
  </si>
  <si>
    <t>3號單價分析</t>
  </si>
  <si>
    <t>60號單價分析</t>
  </si>
  <si>
    <t>56號單價分析</t>
  </si>
  <si>
    <t>57號單價分析</t>
  </si>
  <si>
    <t>58號單價分析</t>
  </si>
  <si>
    <t>59號單價分析</t>
  </si>
  <si>
    <t>工</t>
  </si>
  <si>
    <r>
      <t>m</t>
    </r>
    <r>
      <rPr>
        <b/>
        <vertAlign val="superscript"/>
        <sz val="10"/>
        <rFont val="標楷體"/>
        <family val="4"/>
      </rPr>
      <t>2</t>
    </r>
  </si>
  <si>
    <r>
      <t>428.5-120.56+99.24</t>
    </r>
    <r>
      <rPr>
        <sz val="12"/>
        <rFont val="新細明體"/>
        <family val="1"/>
      </rPr>
      <t>≒</t>
    </r>
    <r>
      <rPr>
        <sz val="12"/>
        <rFont val="標楷體"/>
        <family val="4"/>
      </rPr>
      <t>408</t>
    </r>
  </si>
  <si>
    <r>
      <t>（（408/5）+1）*2</t>
    </r>
    <r>
      <rPr>
        <sz val="12"/>
        <rFont val="新細明體"/>
        <family val="1"/>
      </rPr>
      <t>≒</t>
    </r>
    <r>
      <rPr>
        <sz val="12"/>
        <rFont val="標楷體"/>
        <family val="4"/>
      </rPr>
      <t>166</t>
    </r>
  </si>
  <si>
    <r>
      <t>（428.5-120.56+99.24）*1</t>
    </r>
    <r>
      <rPr>
        <sz val="12"/>
        <rFont val="新細明體"/>
        <family val="1"/>
      </rPr>
      <t>≒</t>
    </r>
    <r>
      <rPr>
        <sz val="12"/>
        <rFont val="標楷體"/>
        <family val="4"/>
      </rPr>
      <t>408</t>
    </r>
  </si>
  <si>
    <t>61號單價分析表</t>
  </si>
  <si>
    <t>62號單價分析表</t>
  </si>
  <si>
    <t>63號單價分析表</t>
  </si>
  <si>
    <t>40T吊車2部</t>
  </si>
  <si>
    <t>123+410=533</t>
  </si>
  <si>
    <t>延續既有欄杆</t>
  </si>
  <si>
    <t>厚度=8cm</t>
  </si>
  <si>
    <t>2.7*0.1*342.85=92.6</t>
  </si>
  <si>
    <t>3.7*0.1*5*6=11.1</t>
  </si>
  <si>
    <t>（0.5+0.5）*（428.5-21.3）=407.2</t>
  </si>
  <si>
    <t>12.8*247=3162</t>
  </si>
  <si>
    <t>（1.5+0.9+2.7+2.1）*2*11=158.4</t>
  </si>
  <si>
    <t>（1.5+0.9+2.7+2.1）*2*5=72</t>
  </si>
  <si>
    <t>（2.7+3.7+3+2）*2*342.85=7817</t>
  </si>
  <si>
    <t>（2.7+3.7+3+2）*2*5*6=684</t>
  </si>
  <si>
    <t>（1.5+1.5+2.5+2.5）*99.24=793.9</t>
  </si>
  <si>
    <t>（1.5+1.5+2.5+2.5）*79.44=635.5</t>
  </si>
  <si>
    <t>（1.5+1.5+2.3+2.3）*60=456</t>
  </si>
  <si>
    <t>（1.5+1.5+2+2）*60=420</t>
  </si>
  <si>
    <t>（1.5+1.5+1.8+1.8）*60=396</t>
  </si>
  <si>
    <t>（1.5+1.5+1.6+1.6）*48.47=300.5</t>
  </si>
  <si>
    <t>0.1*2*247=50</t>
  </si>
  <si>
    <t>0.05*2*11=1.1</t>
  </si>
  <si>
    <t>0.05*2*5=0.5</t>
  </si>
  <si>
    <t>0.1*2*342.85=68.6</t>
  </si>
  <si>
    <t>0.1*2*5*6=6</t>
  </si>
  <si>
    <t>11.5*99.24=1141.3</t>
  </si>
  <si>
    <t>11.5*79.44=913.6</t>
  </si>
  <si>
    <t>10.5*60=630</t>
  </si>
  <si>
    <t>9.4*60=564</t>
  </si>
  <si>
    <t>8.4*60=504</t>
  </si>
  <si>
    <t>7.4*48.47=358.7</t>
  </si>
  <si>
    <t>10.1*247=2495</t>
  </si>
  <si>
    <t>12*79.44=953.3</t>
  </si>
  <si>
    <t>11*60=660</t>
  </si>
  <si>
    <t>10*60=600</t>
  </si>
  <si>
    <t>9*60=540</t>
  </si>
  <si>
    <t>0+000~0+428.5 AC路面</t>
  </si>
  <si>
    <t>5*247=1235</t>
  </si>
  <si>
    <t>247+123+410=780</t>
  </si>
  <si>
    <t>247/2=124</t>
  </si>
  <si>
    <t>11*6=66</t>
  </si>
  <si>
    <t>8+5=13</t>
  </si>
  <si>
    <t>2.75*20=55</t>
  </si>
  <si>
    <t>親水階梯</t>
  </si>
  <si>
    <t>1514-969=545</t>
  </si>
  <si>
    <t>11號單價分析表</t>
  </si>
  <si>
    <t>45號單價分析表</t>
  </si>
  <si>
    <t>純填方：15017-15017=0</t>
  </si>
  <si>
    <t>第三號明細表     什項工程</t>
  </si>
  <si>
    <t>第四號明細表   勞工安全衛生費</t>
  </si>
  <si>
    <t>第六號明細表    廠商品質管制作業費</t>
  </si>
  <si>
    <t>橡膠支承墊</t>
  </si>
  <si>
    <t>產品，人造橡膠支承墊</t>
  </si>
  <si>
    <t>零星工料(含安裝費)</t>
  </si>
  <si>
    <t>cm3</t>
  </si>
  <si>
    <t>cm3</t>
  </si>
  <si>
    <t>100cm3</t>
  </si>
  <si>
    <t xml:space="preserve">每cm3 </t>
  </si>
  <si>
    <t xml:space="preserve">   小計0.6</t>
  </si>
  <si>
    <t>60/100=0.6</t>
  </si>
  <si>
    <t>55號單價分析表</t>
  </si>
  <si>
    <t>空氣污染防制費</t>
  </si>
  <si>
    <t>環境保護措施費</t>
  </si>
  <si>
    <r>
      <t>第五號明細表    環境保護措施費</t>
    </r>
  </si>
  <si>
    <t>含拉伸試驗、輻射鋼筋試驗、化學成分析試驗、熱處理鋼筋制定試驗、外觀尺寸檢驗</t>
  </si>
  <si>
    <t>長度約1.5公尺</t>
  </si>
  <si>
    <t>管厚5.5mm</t>
  </si>
  <si>
    <t>橋樑工程</t>
  </si>
  <si>
    <t>機編高鍍鋅(被覆P.V.C.)石籠3m*1m*1m</t>
  </si>
  <si>
    <t>3m*1m*1m</t>
  </si>
  <si>
    <t>合纖透水織布</t>
  </si>
  <si>
    <t>合纖透水織布</t>
  </si>
  <si>
    <t>橡膠止水帶</t>
  </si>
  <si>
    <t>橡膠止水帶（9mmx220mm）</t>
  </si>
  <si>
    <t>填縫材（環氣樹脂+矽利康）</t>
  </si>
  <si>
    <t>填縫材（環氣樹脂+矽利康）</t>
  </si>
  <si>
    <t xml:space="preserve">G≦1",S=4"
</t>
  </si>
  <si>
    <t>G≦1",S=4"</t>
  </si>
  <si>
    <t>140kgf/cm^2預拌混凝土 'G≦1",S=4"</t>
  </si>
  <si>
    <t>140kgf/cm^2預拌混凝土      購買費</t>
  </si>
  <si>
    <t>210kgf/cm^2預拌混凝土      購買費</t>
  </si>
  <si>
    <t>普通工</t>
  </si>
  <si>
    <t>零星工料及其他</t>
  </si>
  <si>
    <t xml:space="preserve">號數 </t>
  </si>
  <si>
    <t>工料項目</t>
  </si>
  <si>
    <t>熱軋鋼筋</t>
  </si>
  <si>
    <t>210kgf/cm^2預拌混凝土   'G≦1",S=4"</t>
  </si>
  <si>
    <t>G≦1",S=4"</t>
  </si>
  <si>
    <r>
      <t>粒徑平均≧</t>
    </r>
    <r>
      <rPr>
        <sz val="9"/>
        <rFont val="標楷體"/>
        <family val="4"/>
      </rPr>
      <t>60cm</t>
    </r>
  </si>
  <si>
    <r>
      <t>拋塊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角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（粒徑平均≧</t>
    </r>
    <r>
      <rPr>
        <sz val="10"/>
        <rFont val="Times New Roman"/>
        <family val="1"/>
      </rPr>
      <t>60cm</t>
    </r>
    <r>
      <rPr>
        <sz val="10"/>
        <rFont val="標楷體"/>
        <family val="4"/>
      </rPr>
      <t>）</t>
    </r>
  </si>
  <si>
    <t xml:space="preserve"> </t>
  </si>
  <si>
    <t>H×B×C    144.5㎜×127.0㎜×67.87㎜</t>
  </si>
  <si>
    <t>使用竹節鋼筋須符合CNS規範(商購品)</t>
  </si>
  <si>
    <t>G≦1",S=4"</t>
  </si>
  <si>
    <t>210kgf/cm^2混凝土</t>
  </si>
  <si>
    <t>210fkg/cm2混凝土</t>
  </si>
  <si>
    <t>210kgf/cm2混凝土</t>
  </si>
  <si>
    <t>3號單價分析表</t>
  </si>
  <si>
    <t>210kgf/cm^2混凝土</t>
  </si>
  <si>
    <t>安裝費</t>
  </si>
  <si>
    <t>7.5cmφ鍍鋅旋楞套管</t>
  </si>
  <si>
    <t>7.5cmφ鍍鋅旋楞套管</t>
  </si>
  <si>
    <t>管厚4.5㎜</t>
  </si>
  <si>
    <t>350kg/cm^2預拌混凝土'G≦1",S=4"</t>
  </si>
  <si>
    <t>其他安衛設施及教育訓練費</t>
  </si>
  <si>
    <t>長900m(一級圍籬H=2.4m)</t>
  </si>
  <si>
    <t>3處(含既有設施損壞修復)</t>
  </si>
  <si>
    <t>工程用地內雜草.樹木及雜物物等清理(承商自覓合法地點)</t>
  </si>
  <si>
    <t>工地安全維持費</t>
  </si>
  <si>
    <t>純挖方：60269-1800-15017=43452</t>
  </si>
  <si>
    <t>工區內土方平衡處理：43452-30964+1800=14288</t>
  </si>
  <si>
    <t>仿木欄杆</t>
  </si>
  <si>
    <t>仿竹欄杆</t>
  </si>
  <si>
    <t>工   料    項    目</t>
  </si>
  <si>
    <t>塊石（自然石）</t>
  </si>
  <si>
    <t>機械吊放及搬運</t>
  </si>
  <si>
    <t>半技工</t>
  </si>
  <si>
    <t>機具損耗</t>
  </si>
  <si>
    <t>1：3水泥砂漿表面勾縫</t>
  </si>
  <si>
    <t>φ平均20CM</t>
  </si>
  <si>
    <t>漿砌塊石φ平均20CM</t>
  </si>
  <si>
    <t>鑄鐵止滑條</t>
  </si>
  <si>
    <t>鑄鐵止滑條</t>
  </si>
  <si>
    <t>生態景觀堆石跌水工</t>
  </si>
  <si>
    <t>共11頁 第10頁</t>
  </si>
  <si>
    <t>共11頁 第11頁</t>
  </si>
  <si>
    <t>共11頁 第9頁</t>
  </si>
  <si>
    <t>共11頁 第8頁</t>
  </si>
  <si>
    <t>共11頁 第7頁</t>
  </si>
  <si>
    <t>共11頁 第6頁</t>
  </si>
  <si>
    <t>共11頁 第5頁</t>
  </si>
  <si>
    <t>共11頁 第4頁</t>
  </si>
  <si>
    <t>共11頁 第3頁</t>
  </si>
  <si>
    <t>共11頁 第2頁</t>
  </si>
  <si>
    <t>共11頁 第1頁</t>
  </si>
  <si>
    <t>全</t>
  </si>
  <si>
    <t>－</t>
  </si>
  <si>
    <t>石料取自河床</t>
  </si>
  <si>
    <t>橋樑工程</t>
  </si>
  <si>
    <t>全</t>
  </si>
  <si>
    <t>六號明細表</t>
  </si>
  <si>
    <t>350--3組        210--113組        140--4組</t>
  </si>
  <si>
    <t>瀝青厚度試驗</t>
  </si>
  <si>
    <t>含取樣</t>
  </si>
  <si>
    <t>含縱向抗拉試驗、伸長試驗、剪力強度試驗及老化試驗</t>
  </si>
  <si>
    <t>含外層抗紫外線被覆材質</t>
  </si>
  <si>
    <t>含極限強度、極限延伸率、5%應變抗拉強度、橫向極限強度試驗</t>
  </si>
  <si>
    <t>品質管理、自主檢查、文件記錄管理、品質成果報告書及其他相關品管作業等</t>
  </si>
  <si>
    <t>0+380~0+428.47       防洪牆(A8)</t>
  </si>
  <si>
    <t>0+320~0+380       防洪牆(A9)</t>
  </si>
  <si>
    <t>0+260~0+320       防洪牆(A10)</t>
  </si>
  <si>
    <t>0+200~0+260         防洪牆(A11)</t>
  </si>
  <si>
    <t>0+120.56~0+200      防洪牆(A12)</t>
  </si>
  <si>
    <t>0+000~0+099.24        防洪牆(A12)</t>
  </si>
  <si>
    <t>12*99.24=1191</t>
  </si>
  <si>
    <t>8*48.47=387.8</t>
  </si>
  <si>
    <t>（1191+953+660+600+540+388）/4=1083</t>
  </si>
  <si>
    <t>7.5cmφ套管及清洗灌漿</t>
  </si>
  <si>
    <t>m</t>
  </si>
  <si>
    <t>100m</t>
  </si>
  <si>
    <t>小工</t>
  </si>
  <si>
    <t>機具費</t>
  </si>
  <si>
    <t>擴散劑</t>
  </si>
  <si>
    <t>水泥</t>
  </si>
  <si>
    <t>工具損耗</t>
  </si>
  <si>
    <t>技工</t>
  </si>
  <si>
    <t>機具費</t>
  </si>
  <si>
    <t>擴散劑</t>
  </si>
  <si>
    <t>水泥</t>
  </si>
  <si>
    <t>工具損耗</t>
  </si>
  <si>
    <r>
      <t>含</t>
    </r>
    <r>
      <rPr>
        <sz val="10"/>
        <rFont val="細明體"/>
        <family val="3"/>
      </rPr>
      <t>50%損耗</t>
    </r>
  </si>
  <si>
    <r>
      <t>含</t>
    </r>
    <r>
      <rPr>
        <sz val="10"/>
        <rFont val="細明體"/>
        <family val="3"/>
      </rPr>
      <t>5%損耗</t>
    </r>
  </si>
  <si>
    <r>
      <t>m</t>
    </r>
    <r>
      <rPr>
        <sz val="10"/>
        <rFont val="細明體"/>
        <family val="3"/>
      </rPr>
      <t>小計</t>
    </r>
  </si>
  <si>
    <t>12-7cmφ鋼腱安裝及施預力</t>
  </si>
  <si>
    <t>鐵件</t>
  </si>
  <si>
    <t>12-7cmφ鋼腱</t>
  </si>
  <si>
    <t>技工</t>
  </si>
  <si>
    <t>T</t>
  </si>
  <si>
    <t>固定導管位置</t>
  </si>
  <si>
    <t xml:space="preserve"> T</t>
  </si>
  <si>
    <t>12-7cmφ鋼索錨錐及安裝</t>
  </si>
  <si>
    <t>組</t>
  </si>
  <si>
    <t>錨錐</t>
  </si>
  <si>
    <t>工資</t>
  </si>
  <si>
    <t>組</t>
  </si>
  <si>
    <t>預力梁吊運及安裝</t>
  </si>
  <si>
    <r>
      <t>起重設備</t>
    </r>
    <r>
      <rPr>
        <sz val="10"/>
        <rFont val="細明體"/>
        <family val="3"/>
      </rPr>
      <t>(40T吊車)</t>
    </r>
  </si>
  <si>
    <r>
      <t>運梁設備費</t>
    </r>
    <r>
      <rPr>
        <sz val="10"/>
        <rFont val="細明體"/>
        <family val="3"/>
      </rPr>
      <t>(平板車及拖車頭)</t>
    </r>
  </si>
  <si>
    <t>運梁雜費</t>
  </si>
  <si>
    <t>支</t>
  </si>
  <si>
    <t>角鋼伸縮縫</t>
  </si>
  <si>
    <t>鋼料加工及鍍鋅</t>
  </si>
  <si>
    <t>二次混凝土</t>
  </si>
  <si>
    <t>L型鋼及鋼鈑</t>
  </si>
  <si>
    <t>m3</t>
  </si>
  <si>
    <t>m</t>
  </si>
  <si>
    <t>38mmφ防震拉條</t>
  </si>
  <si>
    <t>38mmφ墊片(washer)</t>
  </si>
  <si>
    <t>38mmφ鋼棒(ASTM A722)</t>
  </si>
  <si>
    <t>38mmφ螺帽</t>
  </si>
  <si>
    <t>鋼鈑(A36)</t>
  </si>
  <si>
    <t>2"φPVC管</t>
  </si>
  <si>
    <t>人造橡膠支承墊</t>
  </si>
  <si>
    <t>零星工料</t>
  </si>
  <si>
    <t>只</t>
  </si>
  <si>
    <t>片</t>
  </si>
  <si>
    <t>cm3</t>
  </si>
  <si>
    <t>M</t>
  </si>
  <si>
    <t xml:space="preserve"> 支</t>
  </si>
  <si>
    <t>高壓混凝土磚</t>
  </si>
  <si>
    <t>m2</t>
  </si>
  <si>
    <t>產品，高壓混凝土磚</t>
  </si>
  <si>
    <t>高壓混凝土磚</t>
  </si>
  <si>
    <t>m2</t>
  </si>
  <si>
    <t>m2</t>
  </si>
  <si>
    <t>橋台</t>
  </si>
  <si>
    <t>橋台</t>
  </si>
  <si>
    <t>橋台構造物回填</t>
  </si>
  <si>
    <t>橋台</t>
  </si>
  <si>
    <t xml:space="preserve"> 橋台預力鋼腱</t>
  </si>
  <si>
    <t>橋面模板</t>
  </si>
  <si>
    <t>預力樑鋼筋</t>
  </si>
  <si>
    <t>填縫劑</t>
  </si>
  <si>
    <t>CM3</t>
  </si>
  <si>
    <t>CM3</t>
  </si>
  <si>
    <t>CM3</t>
  </si>
  <si>
    <t>填縫版</t>
  </si>
  <si>
    <t>橋台欄杆</t>
  </si>
  <si>
    <t xml:space="preserve"> 橋台</t>
  </si>
  <si>
    <t>橋台欄杆</t>
  </si>
  <si>
    <t>350kg/cm^2預拌混凝土      購買費</t>
  </si>
  <si>
    <t>預力樑</t>
  </si>
  <si>
    <t>橋台支承</t>
  </si>
  <si>
    <t>46號單價分析表</t>
  </si>
  <si>
    <t>47號單價分析表</t>
  </si>
  <si>
    <t>48號單價分析表</t>
  </si>
  <si>
    <t>49號單價分析表</t>
  </si>
  <si>
    <t>50號單價分析表</t>
  </si>
  <si>
    <t>51號單價分析表</t>
  </si>
  <si>
    <t>52號單價分析表</t>
  </si>
  <si>
    <t>53號單價分析表</t>
  </si>
  <si>
    <t>54號單價分析表</t>
  </si>
  <si>
    <t xml:space="preserve">第二號明細表     橋樑工程    </t>
  </si>
  <si>
    <t>工程數量計算表(乙)－護岸工程</t>
  </si>
  <si>
    <t>工程數量計算表(乙)－橋樑工程</t>
  </si>
  <si>
    <t>共 11頁 第 1 頁</t>
  </si>
  <si>
    <t>共 11頁 第 2 頁</t>
  </si>
  <si>
    <t>共 11頁 第 3 頁</t>
  </si>
  <si>
    <t>樓梯</t>
  </si>
  <si>
    <t>（4.2+1.7+6+1.7+6+4.7）*（0.3+0.3+1.2）+1.2*（3.5+3.5+2.3）=55</t>
  </si>
  <si>
    <t>不鏽鋼踏步</t>
  </si>
  <si>
    <t>∮22m/m</t>
  </si>
  <si>
    <t>SUS304</t>
  </si>
  <si>
    <t>其 它</t>
  </si>
  <si>
    <t>含按裝加工</t>
  </si>
  <si>
    <t>∮22mm不鏽鋼踏步</t>
  </si>
  <si>
    <t>m</t>
  </si>
  <si>
    <t>含膠圈接頭及防滲處理</t>
  </si>
  <si>
    <t>普通工</t>
  </si>
  <si>
    <t>挖土機吊管</t>
  </si>
  <si>
    <t>乙種模型損耗</t>
  </si>
  <si>
    <t>第5號單價分析表</t>
  </si>
  <si>
    <t>回填顆粒性材料</t>
  </si>
  <si>
    <t>純挖方</t>
  </si>
  <si>
    <t>平均值</t>
  </si>
  <si>
    <t>其他</t>
  </si>
  <si>
    <t>含非整支處理</t>
  </si>
  <si>
    <r>
      <t>∮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 xml:space="preserve">00mm混凝土管埋設 </t>
    </r>
  </si>
  <si>
    <t>∮800mm混凝土管</t>
  </si>
  <si>
    <t>第1號單價分析表</t>
  </si>
  <si>
    <t>m</t>
  </si>
  <si>
    <r>
      <t>m</t>
    </r>
    <r>
      <rPr>
        <vertAlign val="superscript"/>
        <sz val="12"/>
        <color indexed="8"/>
        <rFont val="標楷體"/>
        <family val="4"/>
      </rPr>
      <t>3</t>
    </r>
  </si>
  <si>
    <t>時</t>
  </si>
  <si>
    <t>式</t>
  </si>
  <si>
    <r>
      <t>m</t>
    </r>
    <r>
      <rPr>
        <vertAlign val="superscript"/>
        <sz val="10"/>
        <color indexed="8"/>
        <rFont val="標楷體"/>
        <family val="4"/>
      </rPr>
      <t>2</t>
    </r>
  </si>
  <si>
    <t>3號單價分析表</t>
  </si>
  <si>
    <t>M</t>
  </si>
  <si>
    <t>錨釘鋼筋及鍍鋅</t>
  </si>
  <si>
    <t>零星工料及其他</t>
  </si>
  <si>
    <t>全</t>
  </si>
  <si>
    <t>－</t>
  </si>
  <si>
    <t>箱涵伸縮縫</t>
  </si>
  <si>
    <t>2cm*5cm</t>
  </si>
  <si>
    <r>
      <t xml:space="preserve">        (3)填放費：700元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0.05＝35元／m</t>
    </r>
    <r>
      <rPr>
        <vertAlign val="superscript"/>
        <sz val="12"/>
        <rFont val="標楷體"/>
        <family val="4"/>
      </rPr>
      <t>3</t>
    </r>
  </si>
  <si>
    <r>
      <t xml:space="preserve">        (1)購買費：在宜蘭及桃竹苗地區購買245元／m</t>
    </r>
    <r>
      <rPr>
        <vertAlign val="superscript"/>
        <sz val="12"/>
        <rFont val="標楷體"/>
        <family val="4"/>
      </rPr>
      <t>3</t>
    </r>
  </si>
  <si>
    <r>
      <t xml:space="preserve">              則合計：245+420=約665元／m</t>
    </r>
    <r>
      <rPr>
        <vertAlign val="superscript"/>
        <sz val="12"/>
        <rFont val="標楷體"/>
        <family val="4"/>
      </rPr>
      <t>3</t>
    </r>
  </si>
  <si>
    <r>
      <t xml:space="preserve">              則合計：665+35=700元／m</t>
    </r>
    <r>
      <rPr>
        <vertAlign val="superscript"/>
        <sz val="12"/>
        <rFont val="標楷體"/>
        <family val="4"/>
      </rPr>
      <t>3</t>
    </r>
  </si>
  <si>
    <t>基本單價7</t>
  </si>
  <si>
    <t>八、洗砂：</t>
  </si>
  <si>
    <r>
      <t>(1)在北部地區砂石廠購買700元／m</t>
    </r>
    <r>
      <rPr>
        <vertAlign val="superscript"/>
        <sz val="12"/>
        <rFont val="標楷體"/>
        <family val="4"/>
      </rPr>
      <t>3</t>
    </r>
  </si>
  <si>
    <t xml:space="preserve">     (2)卡車運費：二級路3KM ，一級路 5KM</t>
  </si>
  <si>
    <r>
      <t xml:space="preserve"> (5km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6.66元／km-T+3km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9.67元／km-T)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1.6T／m</t>
    </r>
    <r>
      <rPr>
        <vertAlign val="superscript"/>
        <sz val="12"/>
        <rFont val="標楷體"/>
        <family val="4"/>
      </rPr>
      <t>3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0.8≒80元／m</t>
    </r>
    <r>
      <rPr>
        <vertAlign val="superscript"/>
        <sz val="12"/>
        <rFont val="標楷體"/>
        <family val="4"/>
      </rPr>
      <t>3</t>
    </r>
  </si>
  <si>
    <r>
      <t xml:space="preserve">            合計(1)+(2)=700+80≒780元／m</t>
    </r>
    <r>
      <rPr>
        <vertAlign val="superscript"/>
        <sz val="12"/>
        <rFont val="標楷體"/>
        <family val="4"/>
      </rPr>
      <t>3</t>
    </r>
  </si>
  <si>
    <t>基本單價8</t>
  </si>
  <si>
    <t xml:space="preserve">   施工材料、器具等存放及作業場地約150㎡，租用費以100元/㎡/月計 (含租</t>
  </si>
  <si>
    <t xml:space="preserve">   金,整地)以0.2㎡級配鋪底,臨時工棚搭設約100m2,每m2以2000元計列(含折舊.拆除)</t>
  </si>
  <si>
    <t xml:space="preserve">  ：150×100*12+0.20×150×750+100*2000＝402,500元/全</t>
  </si>
  <si>
    <t>二十、混凝土壓送費：混凝土泵送車1270元/HR</t>
  </si>
  <si>
    <r>
      <t xml:space="preserve">          (5)挖土機 (0.7m3) ：4台×580元</t>
    </r>
    <r>
      <rPr>
        <sz val="12"/>
        <rFont val="Times New Roman"/>
        <family val="1"/>
      </rPr>
      <t>/hr</t>
    </r>
    <r>
      <rPr>
        <sz val="12"/>
        <rFont val="標楷體"/>
        <family val="4"/>
      </rPr>
      <t>×</t>
    </r>
    <r>
      <rPr>
        <sz val="12"/>
        <rFont val="Times New Roman"/>
        <family val="1"/>
      </rPr>
      <t>100hr</t>
    </r>
    <r>
      <rPr>
        <sz val="12"/>
        <rFont val="標楷體"/>
        <family val="4"/>
      </rPr>
      <t>＝</t>
    </r>
    <r>
      <rPr>
        <sz val="12"/>
        <rFont val="Times New Roman"/>
        <family val="1"/>
      </rPr>
      <t>232000</t>
    </r>
    <r>
      <rPr>
        <sz val="12"/>
        <rFont val="標楷體"/>
        <family val="4"/>
      </rPr>
      <t>元</t>
    </r>
  </si>
  <si>
    <r>
      <t xml:space="preserve">          (6)10HP抽水機 ：5台×375元</t>
    </r>
    <r>
      <rPr>
        <sz val="12"/>
        <rFont val="Times New Roman"/>
        <family val="1"/>
      </rPr>
      <t>/hr</t>
    </r>
    <r>
      <rPr>
        <sz val="12"/>
        <rFont val="標楷體"/>
        <family val="4"/>
      </rPr>
      <t>×</t>
    </r>
    <r>
      <rPr>
        <sz val="12"/>
        <rFont val="Times New Roman"/>
        <family val="1"/>
      </rPr>
      <t>100hr</t>
    </r>
    <r>
      <rPr>
        <sz val="12"/>
        <rFont val="標楷體"/>
        <family val="4"/>
      </rPr>
      <t>＝</t>
    </r>
    <r>
      <rPr>
        <sz val="12"/>
        <rFont val="Times New Roman"/>
        <family val="1"/>
      </rPr>
      <t>187500</t>
    </r>
    <r>
      <rPr>
        <sz val="12"/>
        <rFont val="標楷體"/>
        <family val="4"/>
      </rPr>
      <t>元</t>
    </r>
  </si>
  <si>
    <r>
      <t xml:space="preserve">          (7)</t>
    </r>
    <r>
      <rPr>
        <sz val="11"/>
        <rFont val="標楷體"/>
        <family val="4"/>
      </rPr>
      <t>低漥地區擋水及設施費：150000元</t>
    </r>
  </si>
  <si>
    <t xml:space="preserve">          (8)其他機具油料及損耗費：150000元</t>
  </si>
  <si>
    <r>
      <t xml:space="preserve">       合計：70,0</t>
    </r>
    <r>
      <rPr>
        <sz val="12"/>
        <rFont val="Times New Roman"/>
        <family val="1"/>
      </rPr>
      <t>00+200,000+90,000+200,400+232,000+187,500+150,000</t>
    </r>
    <r>
      <rPr>
        <sz val="12"/>
        <rFont val="標楷體"/>
        <family val="4"/>
      </rPr>
      <t>≒</t>
    </r>
    <r>
      <rPr>
        <sz val="12"/>
        <rFont val="Times New Roman"/>
        <family val="1"/>
      </rPr>
      <t>1,130,000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全</t>
    </r>
  </si>
  <si>
    <t>十九、材料倉庫損耗費： (含租金,整地及復舊)</t>
  </si>
  <si>
    <t xml:space="preserve">                  則500×0.1×750+500×155=115,500元/全</t>
  </si>
  <si>
    <t xml:space="preserve">             本工程需怪手、吊車及其他機具,共12台</t>
  </si>
  <si>
    <t xml:space="preserve">             計 5,000×12×2 = 120,000 元/全</t>
  </si>
  <si>
    <t>材料倉庫損耗費</t>
  </si>
  <si>
    <t xml:space="preserve">         (1)防洪牆混凝土壓送計52單元,每單元3次,每次以2HR計</t>
  </si>
  <si>
    <t xml:space="preserve">           52*3*2*1270=396240元</t>
  </si>
  <si>
    <t xml:space="preserve">              計≒396240元/全</t>
  </si>
  <si>
    <t>混凝土壓送費</t>
  </si>
  <si>
    <t>基本單價19</t>
  </si>
  <si>
    <t>基本單價20</t>
  </si>
  <si>
    <t>防汛措施費</t>
  </si>
  <si>
    <t>基本單價21</t>
  </si>
  <si>
    <t>十三、施工道路維護費：</t>
  </si>
  <si>
    <t>十二、臨時用水用電費：</t>
  </si>
  <si>
    <t>個人安全防護器具</t>
  </si>
  <si>
    <t>護岸工程</t>
  </si>
  <si>
    <t>組</t>
  </si>
  <si>
    <t>合計</t>
  </si>
  <si>
    <t>一、品質檢驗費</t>
  </si>
  <si>
    <t>圓柱試體製作與養治</t>
  </si>
  <si>
    <t>每組五個</t>
  </si>
  <si>
    <t>圓柱試體養護蓋平試壓</t>
  </si>
  <si>
    <t>鑽心試體取樣</t>
  </si>
  <si>
    <t>每組三個</t>
  </si>
  <si>
    <t>鑽心試體切割蓋平試壓</t>
  </si>
  <si>
    <t>骨材篩分析試驗</t>
  </si>
  <si>
    <t>含取樣</t>
  </si>
  <si>
    <t>次</t>
  </si>
  <si>
    <t>細粒料氯離子含量試驗</t>
  </si>
  <si>
    <t>五號明細表</t>
  </si>
  <si>
    <t>聯外道路修補費</t>
  </si>
  <si>
    <t>工程管理費</t>
  </si>
  <si>
    <t>00</t>
  </si>
  <si>
    <t>勞安</t>
  </si>
  <si>
    <t>環保</t>
  </si>
  <si>
    <t>含損耗</t>
  </si>
  <si>
    <t>(一)發包工作費</t>
  </si>
  <si>
    <t>堤防工程</t>
  </si>
  <si>
    <t>環境保護設施費</t>
  </si>
  <si>
    <t>計</t>
  </si>
  <si>
    <t xml:space="preserve">                  計</t>
  </si>
  <si>
    <t>(三)空氣污染防制費</t>
  </si>
  <si>
    <t>(四)工程管理費</t>
  </si>
  <si>
    <t>鋼筋</t>
  </si>
  <si>
    <t>臨時用水用電費</t>
  </si>
  <si>
    <t>kg</t>
  </si>
  <si>
    <t>全</t>
  </si>
  <si>
    <t xml:space="preserve">                         工程第  次修正︵變更設計︶施工預算說明書</t>
  </si>
  <si>
    <t>一、緣由：</t>
  </si>
  <si>
    <t>二、修正預算︵變更設計︶內容明細表：</t>
  </si>
  <si>
    <t>項次</t>
  </si>
  <si>
    <t>原設計</t>
  </si>
  <si>
    <t>修正</t>
  </si>
  <si>
    <t>修正︵變更設</t>
  </si>
  <si>
    <t>修正預算</t>
  </si>
  <si>
    <t>備註</t>
  </si>
  <si>
    <t>樁號</t>
  </si>
  <si>
    <t>內容</t>
  </si>
  <si>
    <t>後樁號</t>
  </si>
  <si>
    <t>計︶後內容</t>
  </si>
  <si>
    <t>︵變更設計︶原因　　</t>
  </si>
  <si>
    <t>三、修正預算︵變更設計︶后經費比較表：</t>
  </si>
  <si>
    <t>項目</t>
  </si>
  <si>
    <t>原金額︵元︶</t>
  </si>
  <si>
    <t>修正︵變更設計︶</t>
  </si>
  <si>
    <t>增減金額︵元︶</t>
  </si>
  <si>
    <t>後金額</t>
  </si>
  <si>
    <t>單  價  分  析  表</t>
  </si>
  <si>
    <t>號數</t>
  </si>
  <si>
    <t>------</t>
  </si>
  <si>
    <t>單 價 計</t>
  </si>
  <si>
    <t>單位</t>
  </si>
  <si>
    <t>數量</t>
  </si>
  <si>
    <t>工  程  預  算  書</t>
  </si>
  <si>
    <t>工程項目</t>
  </si>
  <si>
    <t>說明</t>
  </si>
  <si>
    <t>單價</t>
  </si>
  <si>
    <t>總價</t>
  </si>
  <si>
    <t>附註</t>
  </si>
  <si>
    <t>一號明細表</t>
  </si>
  <si>
    <t>雜項工程</t>
  </si>
  <si>
    <t>二號明細表</t>
  </si>
  <si>
    <t>勞工安全衛生設備費</t>
  </si>
  <si>
    <t>包商管理費</t>
  </si>
  <si>
    <t>營業稅</t>
  </si>
  <si>
    <t>工程保險費</t>
  </si>
  <si>
    <t>發包總價</t>
  </si>
  <si>
    <t>本工程預算總額</t>
  </si>
  <si>
    <t>支</t>
  </si>
  <si>
    <t>編    製</t>
  </si>
  <si>
    <t>校    核</t>
  </si>
  <si>
    <t>純工作費</t>
  </si>
  <si>
    <t>純材料費</t>
  </si>
  <si>
    <t>材料磅雜費</t>
  </si>
  <si>
    <t>安全衛生告示牌</t>
  </si>
  <si>
    <t>面</t>
  </si>
  <si>
    <t>---</t>
  </si>
  <si>
    <t>(二)供給材料</t>
  </si>
  <si>
    <t>總計</t>
  </si>
  <si>
    <t>工</t>
  </si>
  <si>
    <t>單       位</t>
  </si>
  <si>
    <t>說     明</t>
  </si>
  <si>
    <t>單 位</t>
  </si>
  <si>
    <t>數     量</t>
  </si>
  <si>
    <t>單     價</t>
  </si>
  <si>
    <t>總        價</t>
  </si>
  <si>
    <t>附      註</t>
  </si>
  <si>
    <t>─</t>
  </si>
  <si>
    <t>每</t>
  </si>
  <si>
    <t xml:space="preserve">一、基本工資 ：  </t>
  </si>
  <si>
    <t>NO</t>
  </si>
  <si>
    <t>算式</t>
  </si>
  <si>
    <t>00</t>
  </si>
  <si>
    <t>本次工程保險費率</t>
  </si>
  <si>
    <t>本次工程保險費</t>
  </si>
  <si>
    <t>本次工程[(一)+(二)+(三)+(四)+(五)+純材料費]=</t>
  </si>
  <si>
    <t>本次工程管理費=</t>
  </si>
  <si>
    <r>
      <t>(一)</t>
    </r>
    <r>
      <rPr>
        <sz val="12"/>
        <color indexed="12"/>
        <rFont val="細明體"/>
        <family val="3"/>
      </rPr>
      <t>1號明細表+雜項工程</t>
    </r>
  </si>
  <si>
    <r>
      <t>(二)</t>
    </r>
    <r>
      <rPr>
        <sz val="12"/>
        <color indexed="12"/>
        <rFont val="細明體"/>
        <family val="3"/>
      </rPr>
      <t>承包商品質管制系統作業費
=(一)*公式</t>
    </r>
  </si>
  <si>
    <t>一般河海堤
灌溉工程
建築工程</t>
  </si>
  <si>
    <t>水資源開發工程
(景觀、理、河渠道工程除外)</t>
  </si>
  <si>
    <t>((一)1號明細表+雜項工程)+純材料費</t>
  </si>
  <si>
    <r>
      <t>(三)</t>
    </r>
    <r>
      <rPr>
        <sz val="12"/>
        <color indexed="12"/>
        <rFont val="細明體"/>
        <family val="3"/>
      </rPr>
      <t>環境保護設施費
=((一)+純材料費)*公式</t>
    </r>
  </si>
  <si>
    <t>500萬以下</t>
  </si>
  <si>
    <t>500至1000</t>
  </si>
  <si>
    <t>1000至3000</t>
  </si>
  <si>
    <t>3000至5000</t>
  </si>
  <si>
    <t>5000萬以上</t>
  </si>
  <si>
    <r>
      <t>給予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號明細參考</t>
    </r>
  </si>
  <si>
    <t>依實際編列</t>
  </si>
  <si>
    <r>
      <t>(四)</t>
    </r>
    <r>
      <rPr>
        <sz val="12"/>
        <color indexed="12"/>
        <rFont val="細明體"/>
        <family val="3"/>
      </rPr>
      <t>勞工安全衛生設備及管理費
=((一)+純材料費)*公式</t>
    </r>
  </si>
  <si>
    <t>300萬以下</t>
  </si>
  <si>
    <t>300至600</t>
  </si>
  <si>
    <t>600至1000</t>
  </si>
  <si>
    <t>1000至2000</t>
  </si>
  <si>
    <t>2000至4000</t>
  </si>
  <si>
    <t>4000以上</t>
  </si>
  <si>
    <t>給予3號明細參考</t>
  </si>
  <si>
    <t>[(一)+(二)+(三)+(四)]=</t>
  </si>
  <si>
    <r>
      <t>(五)</t>
    </r>
    <r>
      <rPr>
        <sz val="12"/>
        <color indexed="12"/>
        <rFont val="細明體"/>
        <family val="3"/>
      </rPr>
      <t>承包商管理費
=[(一)+(二)+(三)+(四)]*公式</t>
    </r>
  </si>
  <si>
    <t>100萬以下</t>
  </si>
  <si>
    <t>100至500</t>
  </si>
  <si>
    <t>500萬以上</t>
  </si>
  <si>
    <t>0.1385*和</t>
  </si>
  <si>
    <t>0.1135*和+25000</t>
  </si>
  <si>
    <t>0.0885*和+150000</t>
  </si>
  <si>
    <r>
      <t>(</t>
    </r>
    <r>
      <rPr>
        <sz val="12"/>
        <color indexed="10"/>
        <rFont val="細明體"/>
        <family val="3"/>
      </rPr>
      <t>六</t>
    </r>
    <r>
      <rPr>
        <sz val="12"/>
        <color indexed="10"/>
        <rFont val="Times New Roman"/>
        <family val="1"/>
      </rPr>
      <t>)</t>
    </r>
    <r>
      <rPr>
        <sz val="12"/>
        <color indexed="12"/>
        <rFont val="細明體"/>
        <family val="3"/>
      </rPr>
      <t>營業稅</t>
    </r>
    <r>
      <rPr>
        <sz val="12"/>
        <color indexed="12"/>
        <rFont val="Times New Roman"/>
        <family val="1"/>
      </rPr>
      <t xml:space="preserve">
'=[(</t>
    </r>
    <r>
      <rPr>
        <sz val="12"/>
        <color indexed="12"/>
        <rFont val="細明體"/>
        <family val="3"/>
      </rPr>
      <t>一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二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三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四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五</t>
    </r>
    <r>
      <rPr>
        <sz val="12"/>
        <color indexed="12"/>
        <rFont val="Times New Roman"/>
        <family val="1"/>
      </rPr>
      <t>)]*5%</t>
    </r>
  </si>
  <si>
    <t>工程類別</t>
  </si>
  <si>
    <t>(1)基本費率(%)</t>
  </si>
  <si>
    <r>
      <t>(2)</t>
    </r>
    <r>
      <rPr>
        <sz val="12"/>
        <rFont val="細明體"/>
        <family val="3"/>
      </rPr>
      <t>季節危險加費率(</t>
    </r>
    <r>
      <rPr>
        <sz val="12"/>
        <rFont val="Times New Roman"/>
        <family val="1"/>
      </rPr>
      <t>%)</t>
    </r>
  </si>
  <si>
    <r>
      <t>工程保險費</t>
    </r>
    <r>
      <rPr>
        <sz val="12"/>
        <color indexed="12"/>
        <rFont val="Times New Roman"/>
        <family val="1"/>
      </rPr>
      <t xml:space="preserve">
=[(</t>
    </r>
    <r>
      <rPr>
        <sz val="12"/>
        <color indexed="12"/>
        <rFont val="細明體"/>
        <family val="3"/>
      </rPr>
      <t>一</t>
    </r>
    <r>
      <rPr>
        <sz val="12"/>
        <color indexed="12"/>
        <rFont val="Times New Roman"/>
        <family val="1"/>
      </rPr>
      <t>)+</t>
    </r>
    <r>
      <rPr>
        <sz val="12"/>
        <color indexed="12"/>
        <rFont val="細明體"/>
        <family val="3"/>
      </rPr>
      <t>純材料費</t>
    </r>
    <r>
      <rPr>
        <sz val="12"/>
        <color indexed="12"/>
        <rFont val="Times New Roman"/>
        <family val="1"/>
      </rPr>
      <t>]*[(1)</t>
    </r>
    <r>
      <rPr>
        <sz val="12"/>
        <color indexed="12"/>
        <rFont val="細明體"/>
        <family val="3"/>
      </rPr>
      <t>基本費率</t>
    </r>
    <r>
      <rPr>
        <sz val="12"/>
        <color indexed="12"/>
        <rFont val="Times New Roman"/>
        <family val="1"/>
      </rPr>
      <t>+(2)</t>
    </r>
    <r>
      <rPr>
        <sz val="12"/>
        <color indexed="12"/>
        <rFont val="細明體"/>
        <family val="3"/>
      </rPr>
      <t>季節危險加費率</t>
    </r>
    <r>
      <rPr>
        <sz val="12"/>
        <color indexed="12"/>
        <rFont val="Times New Roman"/>
        <family val="1"/>
      </rPr>
      <t>]</t>
    </r>
  </si>
  <si>
    <t>六月</t>
  </si>
  <si>
    <t>七月</t>
  </si>
  <si>
    <t>八月</t>
  </si>
  <si>
    <t>九月</t>
  </si>
  <si>
    <t>防洪工程
排水工程
農地重劃
海堤工程</t>
  </si>
  <si>
    <t>灌溉工程</t>
  </si>
  <si>
    <r>
      <t>工程管理費</t>
    </r>
    <r>
      <rPr>
        <sz val="12"/>
        <color indexed="12"/>
        <rFont val="Times New Roman"/>
        <family val="1"/>
      </rPr>
      <t>=
[(</t>
    </r>
    <r>
      <rPr>
        <sz val="12"/>
        <color indexed="12"/>
        <rFont val="細明體"/>
        <family val="3"/>
      </rPr>
      <t>一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二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三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四</t>
    </r>
    <r>
      <rPr>
        <sz val="12"/>
        <color indexed="12"/>
        <rFont val="Times New Roman"/>
        <family val="1"/>
      </rPr>
      <t>)+(</t>
    </r>
    <r>
      <rPr>
        <sz val="12"/>
        <color indexed="12"/>
        <rFont val="細明體"/>
        <family val="3"/>
      </rPr>
      <t>五</t>
    </r>
    <r>
      <rPr>
        <sz val="12"/>
        <color indexed="12"/>
        <rFont val="Times New Roman"/>
        <family val="1"/>
      </rPr>
      <t>)+</t>
    </r>
    <r>
      <rPr>
        <sz val="12"/>
        <color indexed="12"/>
        <rFont val="細明體"/>
        <family val="3"/>
      </rPr>
      <t>純材料費</t>
    </r>
    <r>
      <rPr>
        <sz val="12"/>
        <color indexed="12"/>
        <rFont val="Times New Roman"/>
        <family val="1"/>
      </rPr>
      <t>]*</t>
    </r>
    <r>
      <rPr>
        <sz val="12"/>
        <color indexed="12"/>
        <rFont val="細明體"/>
        <family val="3"/>
      </rPr>
      <t>公式</t>
    </r>
  </si>
  <si>
    <r>
      <t>純工程費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萬元</t>
    </r>
    <r>
      <rPr>
        <sz val="12"/>
        <rFont val="Times New Roman"/>
        <family val="1"/>
      </rPr>
      <t>)
           (X)</t>
    </r>
  </si>
  <si>
    <r>
      <t>距本機關</t>
    </r>
    <r>
      <rPr>
        <sz val="12"/>
        <rFont val="Times New Roman"/>
        <family val="1"/>
      </rPr>
      <t>30KM</t>
    </r>
    <r>
      <rPr>
        <sz val="12"/>
        <rFont val="細明體"/>
        <family val="3"/>
      </rPr>
      <t>以下</t>
    </r>
  </si>
  <si>
    <r>
      <t>距本機關</t>
    </r>
    <r>
      <rPr>
        <sz val="12"/>
        <rFont val="Times New Roman"/>
        <family val="1"/>
      </rPr>
      <t>30KM</t>
    </r>
    <r>
      <rPr>
        <sz val="12"/>
        <rFont val="細明體"/>
        <family val="3"/>
      </rPr>
      <t>以上</t>
    </r>
  </si>
  <si>
    <r>
      <t>500</t>
    </r>
    <r>
      <rPr>
        <sz val="12"/>
        <rFont val="細明體"/>
        <family val="3"/>
      </rPr>
      <t>萬以下</t>
    </r>
  </si>
  <si>
    <t>500~2500</t>
  </si>
  <si>
    <t>X*0.04+25000</t>
  </si>
  <si>
    <t>X*0.05+25000</t>
  </si>
  <si>
    <t>2500~10000</t>
  </si>
  <si>
    <t>X*0.03+275000</t>
  </si>
  <si>
    <t>X*0.035+400000</t>
  </si>
  <si>
    <r>
      <t>10000</t>
    </r>
    <r>
      <rPr>
        <sz val="12"/>
        <rFont val="細明體"/>
        <family val="3"/>
      </rPr>
      <t>以上</t>
    </r>
  </si>
  <si>
    <t>X*0.025+775000</t>
  </si>
  <si>
    <t>X*0.03+900000</t>
  </si>
  <si>
    <r>
      <t>空污費</t>
    </r>
    <r>
      <rPr>
        <sz val="12"/>
        <rFont val="Times New Roman"/>
        <family val="1"/>
      </rPr>
      <t>=</t>
    </r>
    <r>
      <rPr>
        <sz val="12"/>
        <rFont val="細明體"/>
        <family val="3"/>
      </rPr>
      <t>合約經費</t>
    </r>
    <r>
      <rPr>
        <sz val="12"/>
        <rFont val="Times New Roman"/>
        <family val="1"/>
      </rPr>
      <t>*0.03%</t>
    </r>
  </si>
  <si>
    <t>30公里以內</t>
  </si>
  <si>
    <t>單位</t>
  </si>
  <si>
    <r>
      <t>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製</t>
    </r>
  </si>
  <si>
    <r>
      <t>校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核</t>
    </r>
  </si>
  <si>
    <r>
      <t>工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預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算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書</t>
    </r>
  </si>
  <si>
    <r>
      <t>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費</t>
    </r>
  </si>
  <si>
    <t>三號明細表</t>
  </si>
  <si>
    <t>四號明細表</t>
  </si>
  <si>
    <r>
      <t>承包商管理費</t>
    </r>
  </si>
  <si>
    <t>計</t>
  </si>
  <si>
    <t>含保險業一
切稅金在內</t>
  </si>
  <si>
    <t>含工地管理費利潤、營業稅以外稅捐及其他什支等</t>
  </si>
  <si>
    <t>什項工程</t>
  </si>
  <si>
    <t/>
  </si>
  <si>
    <t xml:space="preserve"> 工程預定進度表</t>
  </si>
  <si>
    <t>工  程  項  目</t>
  </si>
  <si>
    <t>百分比
%</t>
  </si>
  <si>
    <t>數  量</t>
  </si>
  <si>
    <t>備    註</t>
  </si>
  <si>
    <t>工   料    項    目</t>
  </si>
  <si>
    <r>
      <t xml:space="preserve"> 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發包工作費</t>
    </r>
  </si>
  <si>
    <t>全</t>
  </si>
  <si>
    <t>-----</t>
  </si>
  <si>
    <t>10日</t>
  </si>
  <si>
    <t>25日</t>
  </si>
  <si>
    <t xml:space="preserve">號數 </t>
  </si>
  <si>
    <t>m3</t>
  </si>
  <si>
    <t xml:space="preserve">kg </t>
  </si>
  <si>
    <t>工程項目</t>
  </si>
  <si>
    <t>承包商品管系統作業費</t>
  </si>
  <si>
    <r>
      <t>百分比</t>
    </r>
    <r>
      <rPr>
        <sz val="10"/>
        <rFont val="Times New Roman"/>
        <family val="1"/>
      </rPr>
      <t>%</t>
    </r>
  </si>
  <si>
    <t>廠商品質管制作業費</t>
  </si>
  <si>
    <t>機電設備動力費</t>
  </si>
  <si>
    <t>折舊與損耗</t>
  </si>
  <si>
    <t>搭架及其他</t>
  </si>
  <si>
    <t>含震動機費</t>
  </si>
  <si>
    <t>全</t>
  </si>
  <si>
    <t>計</t>
  </si>
  <si>
    <t>噸</t>
  </si>
  <si>
    <t>時</t>
  </si>
  <si>
    <t>新料正六分板一般用</t>
  </si>
  <si>
    <t>配合作業工</t>
  </si>
  <si>
    <t>技工</t>
  </si>
  <si>
    <t>普通工</t>
  </si>
  <si>
    <t>經濟部水利署第十河川局</t>
  </si>
  <si>
    <t>說    明</t>
  </si>
  <si>
    <t xml:space="preserve"> 工   料   項   目</t>
  </si>
  <si>
    <t>鐵線</t>
  </si>
  <si>
    <t>技工</t>
  </si>
  <si>
    <t>每</t>
  </si>
  <si>
    <t>m3</t>
  </si>
  <si>
    <t xml:space="preserve">每 </t>
  </si>
  <si>
    <t>工   料   項    目</t>
  </si>
  <si>
    <t>m3</t>
  </si>
  <si>
    <t>臨時工棚損耗費</t>
  </si>
  <si>
    <t>機械器具搬運費</t>
  </si>
  <si>
    <t>工程安全圍籬</t>
  </si>
  <si>
    <t>工 程 數 量 計 算 表(丙)</t>
  </si>
  <si>
    <t>設計監造簽證委託服務費</t>
  </si>
  <si>
    <t>kg</t>
  </si>
  <si>
    <t>工料項目</t>
  </si>
  <si>
    <t xml:space="preserve">每    </t>
  </si>
  <si>
    <t>m3</t>
  </si>
  <si>
    <t>(含養護)</t>
  </si>
  <si>
    <t>鋼筋</t>
  </si>
  <si>
    <t>計</t>
  </si>
  <si>
    <t>其他</t>
  </si>
  <si>
    <t>工   料   項    目</t>
  </si>
  <si>
    <t>說    明</t>
  </si>
  <si>
    <t>－</t>
  </si>
  <si>
    <t>面</t>
  </si>
  <si>
    <t>＃8鋁鈑</t>
  </si>
  <si>
    <t>M2</t>
  </si>
  <si>
    <t>高強級反光紙</t>
  </si>
  <si>
    <t>21/2"A級熱鍍鋅鋼管</t>
  </si>
  <si>
    <t>H=2.5M</t>
  </si>
  <si>
    <t>M</t>
  </si>
  <si>
    <t>承座夾具</t>
  </si>
  <si>
    <t>組</t>
  </si>
  <si>
    <t>基礎打設及按裝</t>
  </si>
  <si>
    <t>（含工料）</t>
  </si>
  <si>
    <t>全</t>
  </si>
  <si>
    <t>埋設及其他</t>
  </si>
  <si>
    <t>式</t>
  </si>
  <si>
    <t>面</t>
  </si>
  <si>
    <t>號數</t>
  </si>
  <si>
    <t>單位</t>
  </si>
  <si>
    <t>說明</t>
  </si>
  <si>
    <t>數量</t>
  </si>
  <si>
    <t>單價</t>
  </si>
  <si>
    <t>總價</t>
  </si>
  <si>
    <t>附註</t>
  </si>
  <si>
    <t>工   料    項    目</t>
  </si>
  <si>
    <t>整平費</t>
  </si>
  <si>
    <t>HR</t>
  </si>
  <si>
    <t>含搬運</t>
  </si>
  <si>
    <t>滾壓夯實費</t>
  </si>
  <si>
    <t>灑水車</t>
  </si>
  <si>
    <t>8T</t>
  </si>
  <si>
    <t xml:space="preserve"> 每</t>
  </si>
  <si>
    <t>單價計</t>
  </si>
  <si>
    <t>13號單價分析表</t>
  </si>
  <si>
    <t>14號單價分析表</t>
  </si>
  <si>
    <t>15號單價分析表</t>
  </si>
  <si>
    <t>完工告示牌（B式）</t>
  </si>
  <si>
    <t>警告標示牌（F式）</t>
  </si>
  <si>
    <t>非黏性土壤夯實費</t>
  </si>
  <si>
    <t>計</t>
  </si>
  <si>
    <r>
      <t>土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方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計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算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表</t>
    </r>
  </si>
  <si>
    <t>樁</t>
  </si>
  <si>
    <t>距</t>
  </si>
  <si>
    <t>挖方</t>
  </si>
  <si>
    <t>填方</t>
  </si>
  <si>
    <t>離</t>
  </si>
  <si>
    <r>
      <t>m</t>
    </r>
    <r>
      <rPr>
        <vertAlign val="superscript"/>
        <sz val="14"/>
        <rFont val="Times New Roman"/>
        <family val="1"/>
      </rPr>
      <t>2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</si>
  <si>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均</t>
    </r>
  </si>
  <si>
    <r>
      <t>ｍ</t>
    </r>
    <r>
      <rPr>
        <vertAlign val="superscript"/>
        <sz val="14"/>
        <rFont val="Times New Roman"/>
        <family val="1"/>
      </rPr>
      <t>3</t>
    </r>
  </si>
  <si>
    <t>+</t>
  </si>
  <si>
    <t>---</t>
  </si>
  <si>
    <t>號</t>
  </si>
  <si>
    <t>詳見土方表</t>
  </si>
  <si>
    <t xml:space="preserve">   (1)普通工 700元／工，半技工 800元／工，技工 900元／工</t>
  </si>
  <si>
    <r>
      <t xml:space="preserve">   (2)機械使用費率 : 推土機 900元／hr  (d7 級)，挖土機(0.7m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)580元／hr，</t>
    </r>
  </si>
  <si>
    <t xml:space="preserve">                     傾卸車載重6t (5m3)1,002元／hr</t>
  </si>
  <si>
    <t xml:space="preserve">   (3)卡車運費：一級路面 6.66元／ton─km </t>
  </si>
  <si>
    <t xml:space="preserve">                二級路面 7.88元／ton─km</t>
  </si>
  <si>
    <t xml:space="preserve">                三級路面 9.67元／ton─km</t>
  </si>
  <si>
    <t xml:space="preserve">   (1)使用挖土機作業</t>
  </si>
  <si>
    <r>
      <t xml:space="preserve">      以0.7m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挖土機工作挖方單價</t>
    </r>
  </si>
  <si>
    <r>
      <t xml:space="preserve">   (2)施工機械搬運費3.00元/m</t>
    </r>
    <r>
      <rPr>
        <vertAlign val="superscript"/>
        <sz val="12"/>
        <rFont val="標楷體"/>
        <family val="4"/>
      </rPr>
      <t>3</t>
    </r>
  </si>
  <si>
    <r>
      <t xml:space="preserve">   (2)卡車運費：同洗砂單價480元／m</t>
    </r>
    <r>
      <rPr>
        <vertAlign val="superscript"/>
        <sz val="12"/>
        <rFont val="標楷體"/>
        <family val="4"/>
      </rPr>
      <t>3</t>
    </r>
  </si>
  <si>
    <t xml:space="preserve">   (1)槽型鋁鈑及支撐材租金(含折舊)：650元／m</t>
  </si>
  <si>
    <t xml:space="preserve">   (2)焊接及安裝(含吊裝)：200元／m </t>
  </si>
  <si>
    <t xml:space="preserve">   (6)折除工資：100元／m </t>
  </si>
  <si>
    <t xml:space="preserve">   (1)臨時用水費：以水車運水保養混凝土及工地防塵灑水，每日平均估約需2000元</t>
  </si>
  <si>
    <t xml:space="preserve">   (3)175㎏／cm2混凝土基座固定：100元／m</t>
  </si>
  <si>
    <t xml:space="preserve">   (4)基座土方開挖(人工開挖)：60元／m</t>
  </si>
  <si>
    <t xml:space="preserve">   (5)零星工料：40元／m</t>
  </si>
  <si>
    <t>+</t>
  </si>
  <si>
    <t>+</t>
  </si>
  <si>
    <t>合計挖方</t>
  </si>
  <si>
    <t>回填方</t>
  </si>
  <si>
    <t>機械施工</t>
  </si>
  <si>
    <r>
      <t>90cm</t>
    </r>
    <r>
      <rPr>
        <sz val="8"/>
        <rFont val="Times New Roman"/>
        <family val="1"/>
      </rPr>
      <t>×</t>
    </r>
    <r>
      <rPr>
        <sz val="8"/>
        <rFont val="標楷體"/>
        <family val="4"/>
      </rPr>
      <t>150cm鋁板 (3mm)</t>
    </r>
  </si>
  <si>
    <t>臨時廁所租用費</t>
  </si>
  <si>
    <t>含接排水設備</t>
  </si>
  <si>
    <t>座</t>
  </si>
  <si>
    <t>折舊與損耗</t>
  </si>
  <si>
    <t>交通錐</t>
  </si>
  <si>
    <t>軟質貼反光紙</t>
  </si>
  <si>
    <t>個</t>
  </si>
  <si>
    <t>充電式旋轉警示燈</t>
  </si>
  <si>
    <t>支架式</t>
  </si>
  <si>
    <t>盞</t>
  </si>
  <si>
    <t>勞工安全警告標示牌</t>
  </si>
  <si>
    <r>
      <t>(80</t>
    </r>
    <r>
      <rPr>
        <sz val="8"/>
        <rFont val="Times New Roman"/>
        <family val="1"/>
      </rPr>
      <t>×</t>
    </r>
    <r>
      <rPr>
        <sz val="8"/>
        <rFont val="標楷體"/>
        <family val="4"/>
      </rPr>
      <t>50)cm,原3mm鋁版加p.v.c貼紙</t>
    </r>
  </si>
  <si>
    <t xml:space="preserve">面 </t>
  </si>
  <si>
    <t>紅色三角旗</t>
  </si>
  <si>
    <t>30m</t>
  </si>
  <si>
    <t>捲</t>
  </si>
  <si>
    <t>(含勞工安全教育費)</t>
  </si>
  <si>
    <t>活動護欄</t>
  </si>
  <si>
    <r>
      <t>座</t>
    </r>
    <r>
      <rPr>
        <sz val="10"/>
        <rFont val="Times New Roman"/>
        <family val="1"/>
      </rPr>
      <t xml:space="preserve"> </t>
    </r>
  </si>
  <si>
    <t>黃色警示帶</t>
  </si>
  <si>
    <t>M</t>
  </si>
  <si>
    <t>計</t>
  </si>
  <si>
    <t>洗車設備及沖洗設備</t>
  </si>
  <si>
    <t>全</t>
  </si>
  <si>
    <t>----</t>
  </si>
  <si>
    <t>工地清潔費</t>
  </si>
  <si>
    <t>含聯外道路</t>
  </si>
  <si>
    <t>其他環保設施及維護費</t>
  </si>
  <si>
    <t>含防治公害及美化環境</t>
  </si>
  <si>
    <t>教育訓練費</t>
  </si>
  <si>
    <t>含宣傳費</t>
  </si>
  <si>
    <t>灑水車一台
每日至少二次</t>
  </si>
  <si>
    <t>小計</t>
  </si>
  <si>
    <r>
      <t>二</t>
    </r>
    <r>
      <rPr>
        <sz val="12"/>
        <rFont val="標楷體"/>
        <family val="4"/>
      </rPr>
      <t>、品管作業費</t>
    </r>
  </si>
  <si>
    <t>全</t>
  </si>
  <si>
    <t>----</t>
  </si>
  <si>
    <t xml:space="preserve">             搬運器材每台次 5,000 元/次,</t>
  </si>
  <si>
    <t>半月進度</t>
  </si>
  <si>
    <t>總進度</t>
  </si>
  <si>
    <t>％</t>
  </si>
  <si>
    <t>商購品</t>
  </si>
  <si>
    <t>1.5*1.2M</t>
  </si>
  <si>
    <t>1.0*0.6M</t>
  </si>
  <si>
    <t>依現有河床高程回填，機械施工</t>
  </si>
  <si>
    <t>工</t>
  </si>
  <si>
    <t>泥炭苔</t>
  </si>
  <si>
    <t>hr</t>
  </si>
  <si>
    <t>總     價</t>
  </si>
  <si>
    <t>石籠網材料</t>
  </si>
  <si>
    <r>
      <t>Ｍ</t>
    </r>
    <r>
      <rPr>
        <vertAlign val="superscript"/>
        <sz val="8"/>
        <rFont val="標楷體"/>
        <family val="4"/>
      </rPr>
      <t>２</t>
    </r>
  </si>
  <si>
    <t>同材質組合鐵線</t>
  </si>
  <si>
    <t>組合,整平,封蓋工</t>
  </si>
  <si>
    <t>含排石</t>
  </si>
  <si>
    <t>機械及人工拋石</t>
  </si>
  <si>
    <t>hr</t>
  </si>
  <si>
    <r>
      <t>Ｍ</t>
    </r>
    <r>
      <rPr>
        <vertAlign val="superscript"/>
        <sz val="8"/>
        <rFont val="標楷體"/>
        <family val="4"/>
      </rPr>
      <t>３</t>
    </r>
  </si>
  <si>
    <t>零星工料及損耗</t>
  </si>
  <si>
    <t>式</t>
  </si>
  <si>
    <t>-----</t>
  </si>
  <si>
    <t>組</t>
  </si>
  <si>
    <t>∮15cm以上塊石</t>
  </si>
  <si>
    <r>
      <t>M</t>
    </r>
    <r>
      <rPr>
        <vertAlign val="superscript"/>
        <sz val="10"/>
        <rFont val="標楷體"/>
        <family val="4"/>
      </rPr>
      <t>2</t>
    </r>
  </si>
  <si>
    <t>半技工</t>
  </si>
  <si>
    <t>工料損耗</t>
  </si>
  <si>
    <t>塊(角)石</t>
  </si>
  <si>
    <t>m3</t>
  </si>
  <si>
    <t>堆方場地整理費</t>
  </si>
  <si>
    <t>拋放及整平</t>
  </si>
  <si>
    <t>(含堤坡面整平)</t>
  </si>
  <si>
    <t>工地小搬運</t>
  </si>
  <si>
    <t>計</t>
  </si>
  <si>
    <t xml:space="preserve">每  </t>
  </si>
  <si>
    <t xml:space="preserve">  組</t>
  </si>
  <si>
    <t>A段</t>
  </si>
  <si>
    <t>B段</t>
  </si>
  <si>
    <t>C段</t>
  </si>
  <si>
    <r>
      <t>100m</t>
    </r>
    <r>
      <rPr>
        <vertAlign val="superscript"/>
        <sz val="10"/>
        <rFont val="標楷體"/>
        <family val="4"/>
      </rPr>
      <t>2</t>
    </r>
  </si>
  <si>
    <t>植生基材</t>
  </si>
  <si>
    <t>保水基材</t>
  </si>
  <si>
    <t>有機堆肥</t>
  </si>
  <si>
    <t>樹皮及纖維</t>
  </si>
  <si>
    <t>流失防止劑</t>
  </si>
  <si>
    <t>促生劑</t>
  </si>
  <si>
    <t>種籽</t>
  </si>
  <si>
    <t>混合草花(十種以上)</t>
  </si>
  <si>
    <t>噴基材及操作技工</t>
  </si>
  <si>
    <t>4人/組</t>
  </si>
  <si>
    <t>噴付機械費</t>
  </si>
  <si>
    <t>養護工資</t>
  </si>
  <si>
    <t>含施肥、除草等</t>
  </si>
  <si>
    <t>--</t>
  </si>
  <si>
    <t>養護期二年，以工料費2成計</t>
  </si>
  <si>
    <t>零星工料</t>
  </si>
  <si>
    <t>石面清潔等</t>
  </si>
  <si>
    <t>全</t>
  </si>
  <si>
    <t>--</t>
  </si>
  <si>
    <t>計</t>
  </si>
  <si>
    <r>
      <t>每平方公尺噴附石縫面積以30%計列40000/100*0.3≒120元/m</t>
    </r>
    <r>
      <rPr>
        <vertAlign val="superscript"/>
        <sz val="9"/>
        <rFont val="標楷體"/>
        <family val="4"/>
      </rPr>
      <t>2</t>
    </r>
  </si>
  <si>
    <t>噴附基材植生</t>
  </si>
  <si>
    <t>M3</t>
  </si>
  <si>
    <t>M3</t>
  </si>
  <si>
    <r>
      <t>m</t>
    </r>
    <r>
      <rPr>
        <b/>
        <vertAlign val="superscript"/>
        <sz val="10"/>
        <rFont val="標楷體"/>
        <family val="4"/>
      </rPr>
      <t>2</t>
    </r>
  </si>
  <si>
    <t>－</t>
  </si>
  <si>
    <t>回填方</t>
  </si>
  <si>
    <t xml:space="preserve">  (1)本工程需於河道內取土，及石籠填石、拋石丁壩等，故有必要於岸上、河中施設臨時道路</t>
  </si>
  <si>
    <t xml:space="preserve">           (2)完工後，挖土機及推土機各三台工作天計3天，</t>
  </si>
  <si>
    <r>
      <t xml:space="preserve">                 則(580+900)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</rPr>
      <t>8hr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</rPr>
      <t>3×3＝106,560元</t>
    </r>
  </si>
  <si>
    <t xml:space="preserve">    本工程考量河段週邊道路動線，施工期間出入工地之主要聯外</t>
  </si>
  <si>
    <t xml:space="preserve">   施工材料、器具等存放及作業場地租用費約100㎡，以300元/㎡計 (含租金,整地)</t>
  </si>
  <si>
    <r>
      <t xml:space="preserve">    以0.3㎡級配鋪底,計：300×100+0.30×50×680</t>
    </r>
    <r>
      <rPr>
        <sz val="11"/>
        <rFont val="新細明體"/>
        <family val="1"/>
      </rPr>
      <t>≒</t>
    </r>
    <r>
      <rPr>
        <sz val="11"/>
        <rFont val="標楷體"/>
        <family val="4"/>
      </rPr>
      <t>40,000元/全</t>
    </r>
  </si>
  <si>
    <t xml:space="preserve">     及附近道路破損修補，以500m2計，平均填碎石級配10cm，AC修補舖設5cm。</t>
  </si>
  <si>
    <t xml:space="preserve">     ，長約1000m寬4m厚0.3m,舖混合料以250元/m3計，該項目之工作範圍包括：道路闢</t>
  </si>
  <si>
    <t xml:space="preserve">    築、及維護等費在內。則 250元／m3(含輾壓)×1000×4×0.3＝300,000元／全</t>
  </si>
  <si>
    <t>基本單價11</t>
  </si>
  <si>
    <t>基本單價12</t>
  </si>
  <si>
    <t>基本單價13</t>
  </si>
  <si>
    <t>基本單價14</t>
  </si>
  <si>
    <t>基本單價15</t>
  </si>
  <si>
    <t>基本單價16</t>
  </si>
  <si>
    <t>約100㎡</t>
  </si>
  <si>
    <t>施工道路維護費</t>
  </si>
  <si>
    <t>臨時道路費</t>
  </si>
  <si>
    <r>
      <t>連前共計</t>
    </r>
    <r>
      <rPr>
        <sz val="12"/>
        <color indexed="8"/>
        <rFont val="Times New Roman"/>
        <family val="1"/>
      </rPr>
      <t>:</t>
    </r>
  </si>
  <si>
    <t xml:space="preserve"> 機械施工</t>
  </si>
  <si>
    <t>挖填方</t>
  </si>
  <si>
    <t>地工織物材質</t>
  </si>
  <si>
    <t>次</t>
  </si>
  <si>
    <t>地工織物拉力強度及延伸率試驗</t>
  </si>
  <si>
    <t>條式法：5cm×10cm</t>
  </si>
  <si>
    <t>地工織物起始模數試驗</t>
  </si>
  <si>
    <t>地工織物透水係數試驗</t>
  </si>
  <si>
    <t>定水頭高5公分</t>
  </si>
  <si>
    <r>
      <t>地工織物有效開口徑</t>
    </r>
    <r>
      <rPr>
        <sz val="12"/>
        <rFont val="Times New Roman"/>
        <family val="1"/>
      </rPr>
      <t>(AOS)</t>
    </r>
    <r>
      <rPr>
        <sz val="12"/>
        <rFont val="標楷體"/>
        <family val="4"/>
      </rPr>
      <t>試驗</t>
    </r>
  </si>
  <si>
    <t>工程項目</t>
  </si>
  <si>
    <t>環保人員設置費</t>
  </si>
  <si>
    <t>噪音防治費</t>
  </si>
  <si>
    <t>工地灑水防治污染費</t>
  </si>
  <si>
    <r>
      <t>L</t>
    </r>
    <r>
      <rPr>
        <sz val="8"/>
        <rFont val="標楷體"/>
        <family val="4"/>
      </rPr>
      <t>≒</t>
    </r>
    <r>
      <rPr>
        <sz val="8"/>
        <rFont val="Times New Roman"/>
        <family val="1"/>
      </rPr>
      <t>800</t>
    </r>
    <r>
      <rPr>
        <sz val="8"/>
        <rFont val="標楷體"/>
        <family val="4"/>
      </rPr>
      <t>公尺</t>
    </r>
  </si>
  <si>
    <t>12月</t>
  </si>
  <si>
    <t>2月</t>
  </si>
  <si>
    <t xml:space="preserve">    </t>
  </si>
  <si>
    <t>零星工料</t>
  </si>
  <si>
    <t>碎石級配</t>
  </si>
  <si>
    <r>
      <t>m</t>
    </r>
    <r>
      <rPr>
        <vertAlign val="superscript"/>
        <sz val="10"/>
        <rFont val="標楷體"/>
        <family val="4"/>
      </rPr>
      <t>3</t>
    </r>
  </si>
  <si>
    <t>碎石級配料</t>
  </si>
  <si>
    <r>
      <t>∮</t>
    </r>
    <r>
      <rPr>
        <sz val="9"/>
        <rFont val="Times New Roman"/>
        <family val="1"/>
      </rPr>
      <t>11/2"</t>
    </r>
    <r>
      <rPr>
        <sz val="9"/>
        <rFont val="細明體"/>
        <family val="3"/>
      </rPr>
      <t>以下</t>
    </r>
  </si>
  <si>
    <t>Lm</t>
  </si>
  <si>
    <t>平路機</t>
  </si>
  <si>
    <t>12ft</t>
  </si>
  <si>
    <t>HR</t>
  </si>
  <si>
    <t>壓路機</t>
  </si>
  <si>
    <t>10MT</t>
  </si>
  <si>
    <t>震動壓路機</t>
  </si>
  <si>
    <t>(人工開挖)</t>
  </si>
  <si>
    <t>灑水車</t>
  </si>
  <si>
    <t>技工</t>
  </si>
  <si>
    <t>工</t>
  </si>
  <si>
    <t>全</t>
  </si>
  <si>
    <t>－</t>
  </si>
  <si>
    <t>水泥</t>
  </si>
  <si>
    <t>普通工</t>
  </si>
  <si>
    <t>工地小搬運費</t>
  </si>
  <si>
    <t>工具損耗及其他</t>
  </si>
  <si>
    <t>計</t>
  </si>
  <si>
    <t>噸</t>
  </si>
  <si>
    <t>施工地點：台北縣瑞芳鎮</t>
  </si>
  <si>
    <t>5號單價分析表</t>
  </si>
  <si>
    <t>8號單價分析表</t>
  </si>
  <si>
    <t>計</t>
  </si>
  <si>
    <t>挖填方：</t>
  </si>
  <si>
    <t>回填方：</t>
  </si>
  <si>
    <t>挖填方</t>
  </si>
  <si>
    <t xml:space="preserve">      合計：(650+200+100+60+40+100)元／m×900m=1,035,000元/全 </t>
  </si>
  <si>
    <t xml:space="preserve">            該項目之工作範圍包括：施工道路之維護及損壞之修整。</t>
  </si>
  <si>
    <t xml:space="preserve">五、挖岩方:  </t>
  </si>
  <si>
    <r>
      <t xml:space="preserve">      580元/hr/20m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/hr=19.00元/m</t>
    </r>
    <r>
      <rPr>
        <vertAlign val="superscript"/>
        <sz val="12"/>
        <rFont val="標楷體"/>
        <family val="4"/>
      </rPr>
      <t>3</t>
    </r>
  </si>
  <si>
    <t xml:space="preserve"> 100m3/20m3/hr=5hr</t>
  </si>
  <si>
    <t xml:space="preserve">   (2)使用破碎機作業</t>
  </si>
  <si>
    <t xml:space="preserve">      以破碎機工作挖方單價</t>
  </si>
  <si>
    <t xml:space="preserve"> 100m3/5m3/hr=20hr</t>
  </si>
  <si>
    <r>
      <t xml:space="preserve">      合計:(1)+(2)+(3)=148元/m</t>
    </r>
    <r>
      <rPr>
        <vertAlign val="superscript"/>
        <sz val="12"/>
        <rFont val="標楷體"/>
        <family val="4"/>
      </rPr>
      <t>3</t>
    </r>
  </si>
  <si>
    <t>挖岩方</t>
  </si>
  <si>
    <t xml:space="preserve">     (含人工、機具、工料)需300日, 2,000*300=600,000元 </t>
  </si>
  <si>
    <t xml:space="preserve">   (2)臨時用電費：以每日含工料、機具約1,500元,需300日,1,500*300=450,000元</t>
  </si>
  <si>
    <r>
      <t xml:space="preserve">            </t>
    </r>
    <r>
      <rPr>
        <sz val="12"/>
        <rFont val="標楷體"/>
        <family val="4"/>
      </rPr>
      <t>合計：</t>
    </r>
    <r>
      <rPr>
        <sz val="12"/>
        <rFont val="Times New Roman"/>
        <family val="1"/>
      </rPr>
      <t>(1)+(2)=1,050,000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全</t>
    </r>
  </si>
  <si>
    <t xml:space="preserve">           (1)施工期間路面養護，每天1工，工期300天，</t>
  </si>
  <si>
    <r>
      <t xml:space="preserve">                 則900元／工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</rPr>
      <t>0.6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</rPr>
      <t>300＝162,000元</t>
    </r>
  </si>
  <si>
    <r>
      <t xml:space="preserve">                                  </t>
    </r>
    <r>
      <rPr>
        <sz val="12"/>
        <color indexed="8"/>
        <rFont val="標楷體"/>
        <family val="4"/>
      </rPr>
      <t>合計</t>
    </r>
    <r>
      <rPr>
        <sz val="12"/>
        <color indexed="8"/>
        <rFont val="Times New Roman"/>
        <family val="1"/>
      </rPr>
      <t>(1)+(2)</t>
    </r>
    <r>
      <rPr>
        <sz val="12"/>
        <color indexed="8"/>
        <rFont val="標楷體"/>
        <family val="4"/>
      </rPr>
      <t>≒</t>
    </r>
    <r>
      <rPr>
        <sz val="12"/>
        <color indexed="8"/>
        <rFont val="Times New Roman"/>
        <family val="1"/>
      </rPr>
      <t>270,000</t>
    </r>
    <r>
      <rPr>
        <sz val="12"/>
        <color indexed="8"/>
        <rFont val="標楷體"/>
        <family val="4"/>
      </rPr>
      <t>元／全</t>
    </r>
  </si>
  <si>
    <t xml:space="preserve">   因施工而阻斷堤後排水，因此設置臨時排水設施，將水引至堤外，包括自</t>
  </si>
  <si>
    <t xml:space="preserve">   然明溝及埋設涵管，長度約1000公尺，每公尺以120元計</t>
  </si>
  <si>
    <r>
      <t xml:space="preserve">            120元/m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1000m=120,000元/全</t>
    </r>
  </si>
  <si>
    <t>堤後臨時排水費</t>
  </si>
  <si>
    <t>雜物清理費</t>
  </si>
  <si>
    <t>基本單價17</t>
  </si>
  <si>
    <t xml:space="preserve">       工程範圍內積留之雜物、樹木、垃圾、建築及地上拆除物等廢棄</t>
  </si>
  <si>
    <t xml:space="preserve">       物之清理；其清理(由承商自覓合法地點運棄含運棄處理)費用，</t>
  </si>
  <si>
    <t xml:space="preserve">       以河段長約1公里寬平均約15m挖除運棄每公尺以100元計列，</t>
  </si>
  <si>
    <t xml:space="preserve">         1000m×100=100000元／全</t>
  </si>
  <si>
    <t>板材</t>
  </si>
  <si>
    <t>杉木上材新料正六分</t>
  </si>
  <si>
    <r>
      <t>m</t>
    </r>
    <r>
      <rPr>
        <vertAlign val="superscript"/>
        <sz val="10"/>
        <rFont val="標楷體"/>
        <family val="4"/>
      </rPr>
      <t>2</t>
    </r>
  </si>
  <si>
    <t>使用六次</t>
  </si>
  <si>
    <t>角材</t>
  </si>
  <si>
    <t>〃</t>
  </si>
  <si>
    <t>使用八次</t>
  </si>
  <si>
    <t>圓木</t>
  </si>
  <si>
    <t>馬釘</t>
  </si>
  <si>
    <t>鐵釘</t>
  </si>
  <si>
    <t>鍍鋅鐵絲</t>
  </si>
  <si>
    <t>#8</t>
  </si>
  <si>
    <t>木工</t>
  </si>
  <si>
    <t>製造、裝卸</t>
  </si>
  <si>
    <t>普通工</t>
  </si>
  <si>
    <t>防水三夾板</t>
  </si>
  <si>
    <t>3MM</t>
  </si>
  <si>
    <t>使用三次</t>
  </si>
  <si>
    <t>工具損耗及其他</t>
  </si>
  <si>
    <t>塗油整理等</t>
  </si>
  <si>
    <t>計</t>
  </si>
  <si>
    <t>甲種模型損耗</t>
  </si>
  <si>
    <t>合計填方</t>
  </si>
  <si>
    <t>合計挖填方</t>
  </si>
  <si>
    <t>：</t>
  </si>
  <si>
    <t>合計回填方</t>
  </si>
  <si>
    <t>：</t>
  </si>
  <si>
    <t>挖岩方</t>
  </si>
  <si>
    <t>工區內土方平衡處理</t>
  </si>
  <si>
    <t xml:space="preserve">   (1)使用推土機作業</t>
  </si>
  <si>
    <r>
      <t xml:space="preserve">      合計:(1)+(2)=33元/m</t>
    </r>
    <r>
      <rPr>
        <vertAlign val="superscript"/>
        <sz val="12"/>
        <rFont val="標楷體"/>
        <family val="4"/>
      </rPr>
      <t>3</t>
    </r>
  </si>
  <si>
    <r>
      <t xml:space="preserve">      900元/hr/30m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/hr=30.00元/m</t>
    </r>
    <r>
      <rPr>
        <vertAlign val="superscript"/>
        <sz val="12"/>
        <rFont val="標楷體"/>
        <family val="4"/>
      </rPr>
      <t>3</t>
    </r>
  </si>
  <si>
    <t>七、塊(卵)石購買費：石籠及舖砌塊石用</t>
  </si>
  <si>
    <t>九、碎石級配：</t>
  </si>
  <si>
    <t>十、臨時工棚損耗費：</t>
  </si>
  <si>
    <t>十一、工程安全圍籬：長900m(H=2.4m)</t>
  </si>
  <si>
    <t>十四、聯外道路修補費：(聯外道路之維護及損壞之修整)</t>
  </si>
  <si>
    <t>十五、臨時道路費：</t>
  </si>
  <si>
    <t>十六、機械器具搬運費：</t>
  </si>
  <si>
    <t>十七、堤後臨時排水費：</t>
  </si>
  <si>
    <t>十八、雜物清理費：</t>
  </si>
  <si>
    <r>
      <t xml:space="preserve">   (1)在新竹地區砂石廠購買270元／m</t>
    </r>
    <r>
      <rPr>
        <vertAlign val="superscript"/>
        <sz val="12"/>
        <rFont val="標楷體"/>
        <family val="4"/>
      </rPr>
      <t>3</t>
    </r>
  </si>
  <si>
    <r>
      <t xml:space="preserve">      合計：(1)┼(2)＝750元／m</t>
    </r>
    <r>
      <rPr>
        <vertAlign val="superscript"/>
        <sz val="12"/>
        <rFont val="標楷體"/>
        <family val="4"/>
      </rPr>
      <t>3</t>
    </r>
  </si>
  <si>
    <t>基本單價10</t>
  </si>
  <si>
    <t>基本單價18</t>
  </si>
  <si>
    <t>六、工區內土方平衡處理</t>
  </si>
  <si>
    <t>工區內土方平衡處理</t>
  </si>
  <si>
    <t>基本單價2</t>
  </si>
  <si>
    <t>基本單價3</t>
  </si>
  <si>
    <t>基本單價4</t>
  </si>
  <si>
    <t>基本單價5</t>
  </si>
  <si>
    <t>基本單價6</t>
  </si>
  <si>
    <t>6月</t>
  </si>
  <si>
    <t>7月</t>
  </si>
  <si>
    <t>1號單價分析表</t>
  </si>
  <si>
    <t>2號單價分析表</t>
  </si>
  <si>
    <t>m3</t>
  </si>
  <si>
    <t xml:space="preserve"> </t>
  </si>
  <si>
    <t xml:space="preserve"> </t>
  </si>
  <si>
    <t>3月</t>
  </si>
  <si>
    <t>4月</t>
  </si>
  <si>
    <t>5月</t>
  </si>
  <si>
    <t>8月</t>
  </si>
  <si>
    <t>九十三年</t>
  </si>
  <si>
    <t>工程名稱:基隆河整體治理計劃（前期計劃）瑞芳區塊介壽橋下游左右岸護岸工程</t>
  </si>
  <si>
    <t>乙種模型損耗(基礎用)</t>
  </si>
  <si>
    <t>m2</t>
  </si>
  <si>
    <t>說    明</t>
  </si>
  <si>
    <t>說    明</t>
  </si>
  <si>
    <t>板材</t>
  </si>
  <si>
    <t>新料正五分</t>
  </si>
  <si>
    <t>m3</t>
  </si>
  <si>
    <t>角材</t>
  </si>
  <si>
    <t>〃</t>
  </si>
  <si>
    <t>圓木</t>
  </si>
  <si>
    <t>馬釘</t>
  </si>
  <si>
    <t>鐵釘</t>
  </si>
  <si>
    <t>鍍鋅鐵絲</t>
  </si>
  <si>
    <t>#8</t>
  </si>
  <si>
    <t>木工</t>
  </si>
  <si>
    <t>製造、裝卸</t>
  </si>
  <si>
    <t>普通工</t>
  </si>
  <si>
    <t>工具損耗及其他</t>
  </si>
  <si>
    <t xml:space="preserve">  m2</t>
  </si>
  <si>
    <t xml:space="preserve">造型模板 </t>
  </si>
  <si>
    <t>M2</t>
  </si>
  <si>
    <t>工   料    項    目</t>
  </si>
  <si>
    <t>脫模劑</t>
  </si>
  <si>
    <t xml:space="preserve"> </t>
  </si>
  <si>
    <t>拆裝費</t>
  </si>
  <si>
    <t>浸透型染料</t>
  </si>
  <si>
    <t>1:1調配每加崙噴15m2</t>
  </si>
  <si>
    <t>全</t>
  </si>
  <si>
    <t>白色水泥漆</t>
  </si>
  <si>
    <t>表面保護劑</t>
  </si>
  <si>
    <t>1:1調配每加崙噴14m2</t>
  </si>
  <si>
    <t>塗油整理</t>
  </si>
  <si>
    <t>M2</t>
  </si>
  <si>
    <t>單 價 計</t>
  </si>
  <si>
    <t>M</t>
  </si>
  <si>
    <t>工   料   項   目</t>
  </si>
  <si>
    <t>PVC止水帶</t>
  </si>
  <si>
    <t>9mmx220mm</t>
  </si>
  <si>
    <t>m</t>
  </si>
  <si>
    <t>按裝及零星工料</t>
  </si>
  <si>
    <t>含轉角切割連接及損耗</t>
  </si>
  <si>
    <t>m</t>
  </si>
  <si>
    <t>支</t>
  </si>
  <si>
    <t>支</t>
  </si>
  <si>
    <t>只</t>
  </si>
  <si>
    <t>安裝費</t>
  </si>
  <si>
    <t>其他</t>
  </si>
  <si>
    <t>防洪牆伸縮縫</t>
  </si>
  <si>
    <t>處</t>
  </si>
  <si>
    <t>工   料   項    目</t>
  </si>
  <si>
    <t>實心9mm*220m</t>
  </si>
  <si>
    <t>m</t>
  </si>
  <si>
    <t>1.5cm*3cm</t>
  </si>
  <si>
    <t>m</t>
  </si>
  <si>
    <t>保麗龍板</t>
  </si>
  <si>
    <t>t=1.5cm,含黏貼</t>
  </si>
  <si>
    <t>m2</t>
  </si>
  <si>
    <t>含損耗</t>
  </si>
  <si>
    <t>鋼筋</t>
  </si>
  <si>
    <t>Φ22mm含加工按裝</t>
  </si>
  <si>
    <t>kg</t>
  </si>
  <si>
    <t>商購品含運費</t>
  </si>
  <si>
    <t>零星工料</t>
  </si>
  <si>
    <t>全</t>
  </si>
  <si>
    <t>－</t>
  </si>
  <si>
    <t>計</t>
  </si>
  <si>
    <t>處</t>
  </si>
  <si>
    <t>工   料   項    目</t>
  </si>
  <si>
    <t>210kg/cm2混凝土</t>
  </si>
  <si>
    <t>m3</t>
  </si>
  <si>
    <t>1號單價分析表</t>
  </si>
  <si>
    <t>甲種模型損耗</t>
  </si>
  <si>
    <t>㎡</t>
  </si>
  <si>
    <t>鋼筋加工及組立</t>
  </si>
  <si>
    <t>kg</t>
  </si>
  <si>
    <t>8號單價分析表</t>
  </si>
  <si>
    <t xml:space="preserve">每 </t>
  </si>
  <si>
    <t xml:space="preserve">  m</t>
  </si>
  <si>
    <t>塊</t>
  </si>
  <si>
    <t>涵版按裝</t>
  </si>
  <si>
    <t>含搬運</t>
  </si>
  <si>
    <t xml:space="preserve">    塊</t>
  </si>
  <si>
    <t>塊</t>
  </si>
  <si>
    <t>1：3水泥砂漿</t>
  </si>
  <si>
    <t>工程項目</t>
  </si>
  <si>
    <t>50kg/包</t>
  </si>
  <si>
    <t>包</t>
  </si>
  <si>
    <t>商購品,含運費</t>
  </si>
  <si>
    <t>洗砂</t>
  </si>
  <si>
    <t>半技工</t>
  </si>
  <si>
    <t>其他搬運及損耗</t>
  </si>
  <si>
    <t>式</t>
  </si>
  <si>
    <t>計</t>
  </si>
  <si>
    <t>計</t>
  </si>
  <si>
    <t>路床滾壓</t>
  </si>
  <si>
    <t>100㎡</t>
  </si>
  <si>
    <t>1070÷100=11</t>
  </si>
  <si>
    <t>鋪設透層</t>
  </si>
  <si>
    <t>含撒佈機損耗</t>
  </si>
  <si>
    <t>1300÷100=13</t>
  </si>
  <si>
    <t>舖設黏層(150℃  AC)</t>
  </si>
  <si>
    <t>(150℃  AC)</t>
  </si>
  <si>
    <t xml:space="preserve"> </t>
  </si>
  <si>
    <t>瀝青混凝土面層</t>
  </si>
  <si>
    <t>85#AC</t>
  </si>
  <si>
    <t>t</t>
  </si>
  <si>
    <t>4.60×20k</t>
  </si>
  <si>
    <t>每㎡10㎝厚AC面層</t>
  </si>
  <si>
    <t>每㎡5㎝厚AC面層</t>
  </si>
  <si>
    <t>1,310元/t×2.35×0.05≒154.00元/㎡</t>
  </si>
  <si>
    <t>預鑄緣石</t>
  </si>
  <si>
    <t>工    程    項    目</t>
  </si>
  <si>
    <t>1：3</t>
  </si>
  <si>
    <t>∮6mm含
加工及組立</t>
  </si>
  <si>
    <t>商購品,含運費</t>
  </si>
  <si>
    <t>一底二度</t>
  </si>
  <si>
    <t>含保養吊放
安裝</t>
  </si>
  <si>
    <t>每   m</t>
  </si>
  <si>
    <t xml:space="preserve">93年元月  </t>
  </si>
  <si>
    <t>鐵模損耗</t>
  </si>
  <si>
    <t>鋼料折舊費</t>
  </si>
  <si>
    <t>支撐料</t>
  </si>
  <si>
    <t>大工</t>
  </si>
  <si>
    <t>小工</t>
  </si>
  <si>
    <t>螺絲五金</t>
  </si>
  <si>
    <t>零星工料損耗</t>
  </si>
  <si>
    <t>零星工料</t>
  </si>
  <si>
    <t>普通工</t>
  </si>
  <si>
    <t>三輪壓路機</t>
  </si>
  <si>
    <t>D7牽引機</t>
  </si>
  <si>
    <t>灑水車</t>
  </si>
  <si>
    <t>抽水機</t>
  </si>
  <si>
    <t>二級工</t>
  </si>
  <si>
    <t>三級工</t>
  </si>
  <si>
    <t>小工</t>
  </si>
  <si>
    <t>工具搬運損耗</t>
  </si>
  <si>
    <t>中凝油溶瀝青</t>
  </si>
  <si>
    <t>大工</t>
  </si>
  <si>
    <t>零星工資</t>
  </si>
  <si>
    <t>乳化瀝青</t>
  </si>
  <si>
    <t>含色料工資</t>
  </si>
  <si>
    <t>4號單價分析表</t>
  </si>
  <si>
    <t>河床現地取用</t>
  </si>
  <si>
    <t>m2</t>
  </si>
  <si>
    <t>m2</t>
  </si>
  <si>
    <t>m2</t>
  </si>
  <si>
    <r>
      <t>m</t>
    </r>
    <r>
      <rPr>
        <vertAlign val="superscript"/>
        <sz val="10"/>
        <rFont val="Times New Roman"/>
        <family val="1"/>
      </rPr>
      <t>3</t>
    </r>
  </si>
  <si>
    <t>1,310元/t×2.35×0.10≒308.00元/㎡</t>
  </si>
  <si>
    <t>每       ㎡</t>
  </si>
  <si>
    <t>柏油</t>
  </si>
  <si>
    <t>防剝粉</t>
  </si>
  <si>
    <t>石粉</t>
  </si>
  <si>
    <t>細砂料</t>
  </si>
  <si>
    <t>碎石料</t>
  </si>
  <si>
    <t>合材費</t>
  </si>
  <si>
    <t>舖築及壓實</t>
  </si>
  <si>
    <t>合材運費</t>
  </si>
  <si>
    <t>邊模及零星工費</t>
  </si>
  <si>
    <t>鐵模損耗</t>
  </si>
  <si>
    <t>填縫水泥砂漿</t>
  </si>
  <si>
    <t>鋼筋</t>
  </si>
  <si>
    <t>粉刷白色水泥漆</t>
  </si>
  <si>
    <t>工具損耗及其他</t>
  </si>
  <si>
    <t>7號單價分析表</t>
  </si>
  <si>
    <t>1號單價分析表</t>
  </si>
  <si>
    <t>3號單價分析表</t>
  </si>
  <si>
    <t>m2</t>
  </si>
  <si>
    <t>m3</t>
  </si>
  <si>
    <t>m2</t>
  </si>
  <si>
    <t>16號單價分析表</t>
  </si>
  <si>
    <t>4號單價分析表</t>
  </si>
  <si>
    <t>17號單價分析表</t>
  </si>
  <si>
    <t>18號單價分析表</t>
  </si>
  <si>
    <t>19號單價分析表</t>
  </si>
  <si>
    <t>20號單價分析表</t>
  </si>
  <si>
    <t>21號單價分析表</t>
  </si>
  <si>
    <t>22號單價分析表</t>
  </si>
  <si>
    <t>23號單價分析表</t>
  </si>
  <si>
    <t>24號單價分析表</t>
  </si>
  <si>
    <t>25號單價分析表</t>
  </si>
  <si>
    <t>26號單價分析表</t>
  </si>
  <si>
    <t>27號單價分析表</t>
  </si>
  <si>
    <t>28號單價分析表</t>
  </si>
  <si>
    <t>29號單價分析表</t>
  </si>
  <si>
    <t>30號單價分析表</t>
  </si>
  <si>
    <t>31號單價分析表</t>
  </si>
  <si>
    <t>鋼模損耗及折舊</t>
  </si>
  <si>
    <r>
      <t>16M</t>
    </r>
    <r>
      <rPr>
        <sz val="10"/>
        <rFont val="標楷體"/>
        <family val="4"/>
      </rPr>
      <t>鋼軌買斷</t>
    </r>
  </si>
  <si>
    <t>運費</t>
  </si>
  <si>
    <t>保護</t>
  </si>
  <si>
    <r>
      <t>包含油毛氈及工資</t>
    </r>
    <r>
      <rPr>
        <sz val="8"/>
        <rFont val="Times New Roman"/>
        <family val="1"/>
      </rPr>
      <t xml:space="preserve"> </t>
    </r>
  </si>
  <si>
    <r>
      <t>擋土木板</t>
    </r>
    <r>
      <rPr>
        <sz val="10"/>
        <rFont val="Times New Roman"/>
        <family val="1"/>
      </rPr>
      <t xml:space="preserve"> </t>
    </r>
  </si>
  <si>
    <t>m2</t>
  </si>
  <si>
    <r>
      <t>板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分厚依實際面積算</t>
    </r>
  </si>
  <si>
    <t>其他</t>
  </si>
  <si>
    <r>
      <t>50</t>
    </r>
    <r>
      <rPr>
        <sz val="10"/>
        <rFont val="標楷體"/>
        <family val="4"/>
      </rPr>
      <t>kg級鋼軌樁</t>
    </r>
  </si>
  <si>
    <t>9號單價分析表</t>
  </si>
  <si>
    <t>10號單價分析表</t>
  </si>
  <si>
    <t>12號單價分析表</t>
  </si>
  <si>
    <t>32號單價分析表</t>
  </si>
  <si>
    <t>33號單價分析表</t>
  </si>
  <si>
    <t>鋼模損耗及折舊</t>
  </si>
  <si>
    <t>含鋼料架</t>
  </si>
  <si>
    <r>
      <t>m</t>
    </r>
    <r>
      <rPr>
        <vertAlign val="superscript"/>
        <sz val="10"/>
        <rFont val="Times New Roman"/>
        <family val="1"/>
      </rPr>
      <t>2</t>
    </r>
  </si>
  <si>
    <t>安裝費</t>
  </si>
  <si>
    <t>含支撐料</t>
  </si>
  <si>
    <t>全</t>
  </si>
  <si>
    <t>技工</t>
  </si>
  <si>
    <t>水性</t>
  </si>
  <si>
    <r>
      <t>含</t>
    </r>
    <r>
      <rPr>
        <sz val="10"/>
        <rFont val="Times New Roman"/>
        <family val="1"/>
      </rPr>
      <t>C-BOLT</t>
    </r>
  </si>
  <si>
    <t>直徑3"洩水管</t>
  </si>
  <si>
    <r>
      <t>直徑</t>
    </r>
    <r>
      <rPr>
        <sz val="10"/>
        <color indexed="8"/>
        <rFont val="標楷體"/>
        <family val="4"/>
      </rPr>
      <t>3"P.V.C洩水管</t>
    </r>
  </si>
  <si>
    <t>3"T型排水器</t>
  </si>
  <si>
    <t>（2*6/2）*428.5=2571</t>
  </si>
  <si>
    <t>挖岩方約佔3％計1800m3</t>
  </si>
  <si>
    <t>C 0+000~0+175.633</t>
  </si>
  <si>
    <t>175.6*4=703</t>
  </si>
  <si>
    <t>175.6*12=2108</t>
  </si>
  <si>
    <t>（0.4*8.5）*450=1530</t>
  </si>
  <si>
    <t>單     位</t>
  </si>
  <si>
    <t>組</t>
  </si>
  <si>
    <t>工料項目</t>
  </si>
  <si>
    <t>總      價</t>
  </si>
  <si>
    <t>預鑄RC櫟木主柱</t>
  </si>
  <si>
    <t xml:space="preserve">∮=15cm </t>
  </si>
  <si>
    <t>預鑄RC櫟木橫杆</t>
  </si>
  <si>
    <t xml:space="preserve">∮=10cm </t>
  </si>
  <si>
    <t>純挖方A</t>
  </si>
  <si>
    <r>
      <t>M</t>
    </r>
    <r>
      <rPr>
        <vertAlign val="superscript"/>
        <sz val="10"/>
        <rFont val="標楷體"/>
        <family val="4"/>
      </rPr>
      <t>3</t>
    </r>
  </si>
  <si>
    <t>基本單價</t>
  </si>
  <si>
    <t>1號單價分析表</t>
  </si>
  <si>
    <t>1:3水泥砂漿</t>
  </si>
  <si>
    <t>組件</t>
  </si>
  <si>
    <t>技工</t>
  </si>
  <si>
    <t>工</t>
  </si>
  <si>
    <t>計</t>
  </si>
  <si>
    <t>9000/1.5=6000</t>
  </si>
  <si>
    <t>1.5m/組</t>
  </si>
  <si>
    <t>m</t>
  </si>
  <si>
    <t>34號單價分析表</t>
  </si>
  <si>
    <t>35號單價分析表</t>
  </si>
  <si>
    <t>B 0+000~0+247</t>
  </si>
  <si>
    <t>（428.5-23.5）/12+1=35</t>
  </si>
  <si>
    <t>側溝格柵版（1M*1M）</t>
  </si>
  <si>
    <t>預鑄涵版（1M*1M）</t>
  </si>
  <si>
    <t>側溝格柵版（1M*0.8M）</t>
  </si>
  <si>
    <t>247/5=50</t>
  </si>
  <si>
    <t>（247/12）+1=22</t>
  </si>
  <si>
    <t>側溝格柵版購買費</t>
  </si>
  <si>
    <t>100×100</t>
  </si>
  <si>
    <t>塊</t>
  </si>
  <si>
    <t>按裝及吊放</t>
  </si>
  <si>
    <t>配合整吊1:3水泥砂漿</t>
  </si>
  <si>
    <t>預鑄涵版購買費</t>
  </si>
  <si>
    <t>M2</t>
  </si>
  <si>
    <t>－</t>
  </si>
  <si>
    <t>80×50</t>
  </si>
  <si>
    <t>W=0.3M</t>
  </si>
  <si>
    <t>鋼軌打設（鑽掘）工資</t>
  </si>
  <si>
    <t>間距0.3M</t>
  </si>
  <si>
    <t>（10.1*247）/4=624</t>
  </si>
  <si>
    <t>預鑄涵版（0.5M*0.8M）</t>
  </si>
  <si>
    <t>247/0.3+1=825</t>
  </si>
  <si>
    <t>80×100</t>
  </si>
  <si>
    <t>（247-50）*2=394</t>
  </si>
  <si>
    <t>17*247=4199</t>
  </si>
  <si>
    <t>（1*10+10*3.5）*247=11115</t>
  </si>
  <si>
    <t>9*247=2223</t>
  </si>
  <si>
    <t>2.13*247=527</t>
  </si>
  <si>
    <t>5*247=1235</t>
  </si>
  <si>
    <t>11號單價分析</t>
  </si>
  <si>
    <t>3號單價分析表</t>
  </si>
  <si>
    <t>磚材</t>
  </si>
  <si>
    <t>加勁格網</t>
  </si>
  <si>
    <t>碎石</t>
  </si>
  <si>
    <t>插梢</t>
  </si>
  <si>
    <t>夯實回填費</t>
  </si>
  <si>
    <t>基礎開挖</t>
  </si>
  <si>
    <t>小搬運</t>
  </si>
  <si>
    <t>其他</t>
  </si>
  <si>
    <t>加勁值生檔土牆</t>
  </si>
  <si>
    <t>M2</t>
  </si>
  <si>
    <t>M3</t>
  </si>
  <si>
    <t>-</t>
  </si>
  <si>
    <t>-</t>
  </si>
  <si>
    <t>12*247=2964</t>
  </si>
  <si>
    <t>4.5*247=1112</t>
  </si>
  <si>
    <t>9號單價分析</t>
  </si>
  <si>
    <t>26號單價分析表</t>
  </si>
  <si>
    <t>工料項目</t>
  </si>
  <si>
    <t>7號單價分析表</t>
  </si>
  <si>
    <t>36號單價分析表</t>
  </si>
  <si>
    <t>工程告示牌</t>
  </si>
  <si>
    <t>面</t>
  </si>
  <si>
    <t>＃8鋁鈑</t>
  </si>
  <si>
    <t>1.8*1.2M</t>
  </si>
  <si>
    <t>高強級反光紙</t>
  </si>
  <si>
    <t>21/2"A級熱鍍鋅鋼管</t>
  </si>
  <si>
    <t>H=2.5M</t>
  </si>
  <si>
    <t>M</t>
  </si>
  <si>
    <t>承座夾具</t>
  </si>
  <si>
    <t>基礎打設及按裝</t>
  </si>
  <si>
    <t>（含工料）</t>
  </si>
  <si>
    <t>埋設及其他</t>
  </si>
  <si>
    <t>面</t>
  </si>
  <si>
    <t>純挖方</t>
  </si>
  <si>
    <t>機械施工</t>
  </si>
  <si>
    <t>第一號明細表     護岸工程    L≒850公尺</t>
  </si>
  <si>
    <t>二、純挖方A     f=0.83 ,  K=0.75,  R=0.85</t>
  </si>
  <si>
    <t xml:space="preserve">          (1)使用挖土機作業 Wmax=5÷3.9×45×f×K×R=30.53/hr </t>
  </si>
  <si>
    <t xml:space="preserve">            以0.7m3挖土機工作挖方單價580元／hr÷30.53／hr=19.00元／m3</t>
  </si>
  <si>
    <t xml:space="preserve">          (2)油料機械等其它損耗費6.00元／m3</t>
  </si>
  <si>
    <t xml:space="preserve">           合計：(1)+(2)=25元／m3</t>
  </si>
  <si>
    <t>三、回填方</t>
  </si>
  <si>
    <t xml:space="preserve">   (1)挖方單價全,二之(1)  19.00元／m3</t>
  </si>
  <si>
    <t xml:space="preserve">  (2)油料機械等其它損耗費6.00元／m3</t>
  </si>
  <si>
    <t xml:space="preserve">   (3)區內小搬運及配合作業：6.00元／m3</t>
  </si>
  <si>
    <t xml:space="preserve">           合計：19.00+6.00+7=32.00元／m3</t>
  </si>
  <si>
    <t>四、挖填方</t>
  </si>
  <si>
    <t xml:space="preserve">        (2)卡車運費：二級路3KM ，一級路 45KM</t>
  </si>
  <si>
    <r>
      <t>(45km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6.66元／km-T+3km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9.67元／km-T)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1.6T／m</t>
    </r>
    <r>
      <rPr>
        <vertAlign val="superscript"/>
        <sz val="12"/>
        <rFont val="標楷體"/>
        <family val="4"/>
      </rPr>
      <t>3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0.8≒420元／m</t>
    </r>
    <r>
      <rPr>
        <vertAlign val="superscript"/>
        <sz val="12"/>
        <rFont val="標楷體"/>
        <family val="4"/>
      </rPr>
      <t>3</t>
    </r>
  </si>
  <si>
    <t xml:space="preserve">93年1月  </t>
  </si>
  <si>
    <t>共 6頁第 1 頁</t>
  </si>
  <si>
    <t>共 6頁第 2 頁</t>
  </si>
  <si>
    <t>共 6頁第 3 頁</t>
  </si>
  <si>
    <t>共 6頁第 4 頁</t>
  </si>
  <si>
    <t>共 6頁第 5 頁</t>
  </si>
  <si>
    <t>共 6頁第 6 頁</t>
  </si>
  <si>
    <t>共  6  頁  第 6 頁</t>
  </si>
  <si>
    <t>共  6  頁  第 5 頁</t>
  </si>
  <si>
    <t>共  6  頁  第 4 頁</t>
  </si>
  <si>
    <t>共  6  頁  第 3 頁</t>
  </si>
  <si>
    <t>共  6  頁  第 2 頁</t>
  </si>
  <si>
    <t>共  6  頁  第 1 頁</t>
  </si>
  <si>
    <r>
      <t xml:space="preserve">50mm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,HDPE</t>
    </r>
    <r>
      <rPr>
        <sz val="10"/>
        <rFont val="標楷體"/>
        <family val="4"/>
      </rPr>
      <t>管</t>
    </r>
  </si>
  <si>
    <t>m</t>
  </si>
  <si>
    <t>加工及安裝</t>
  </si>
  <si>
    <t>m</t>
  </si>
  <si>
    <t>工具損耗及雜費</t>
  </si>
  <si>
    <t>小計</t>
  </si>
  <si>
    <r>
      <t>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</si>
  <si>
    <t>HDPE透水管,50mm∮</t>
  </si>
  <si>
    <t>37號單價分析表</t>
  </si>
  <si>
    <t>9月</t>
  </si>
  <si>
    <t>10月</t>
  </si>
  <si>
    <t>11月</t>
  </si>
  <si>
    <t>2月</t>
  </si>
  <si>
    <t>12月</t>
  </si>
  <si>
    <t>鋼筋及加工組立</t>
  </si>
  <si>
    <t>(A11)0+060~0+098.2 防洪牆臨水面</t>
  </si>
  <si>
    <t>(A11)0+121.6~0+160 防洪牆臨水面</t>
  </si>
  <si>
    <t>(A10)0+160~0+260 防洪牆臨水面</t>
  </si>
  <si>
    <t>(A9)0+260~0+360 防洪牆臨水面</t>
  </si>
  <si>
    <t>(A8)0+360~0+428.5 防洪牆臨水面</t>
  </si>
  <si>
    <t>B 0+000~0+247 防洪牆臨水面</t>
  </si>
  <si>
    <t>B 0+000~0+247 背填塊石</t>
  </si>
  <si>
    <t>B 0+000~0+247 加勁檔土牆</t>
  </si>
  <si>
    <t>C 0+000~0+175.633 石籠</t>
  </si>
  <si>
    <t>A 0+000~0+428.5 拋塊石</t>
  </si>
  <si>
    <t>B 0+000~0+247 拋塊石</t>
  </si>
  <si>
    <t>0+000~0+428.5 AC路面</t>
  </si>
  <si>
    <t>B 0+000~0+247 30CM厚透水碎石</t>
  </si>
  <si>
    <t>B 0+000~0+247 AC路面</t>
  </si>
  <si>
    <t>A 0+000~0+428.5 堤頂</t>
  </si>
  <si>
    <t>(A12)0+000~0+060 防洪牆臨水面</t>
  </si>
  <si>
    <t xml:space="preserve">B 0+000~0+247 </t>
  </si>
  <si>
    <t>A 0+000~0+428.5</t>
  </si>
  <si>
    <t>0+000~0+428.5</t>
  </si>
  <si>
    <t>B 0+000~0+247 堤頂</t>
  </si>
  <si>
    <t>箱涵（甲型）0+000~0+342.85</t>
  </si>
  <si>
    <t>箱涵（乙型）5座長6M</t>
  </si>
  <si>
    <t xml:space="preserve"> U型側溝（1M×1M）伸縮縫</t>
  </si>
  <si>
    <t>t=2cm,含黏貼</t>
  </si>
  <si>
    <t xml:space="preserve"> U型側溝（0.8M×1M）伸縮縫</t>
  </si>
  <si>
    <t>2cm*3cm</t>
  </si>
  <si>
    <t>2cm*3cm</t>
  </si>
  <si>
    <t>38號單價分析表</t>
  </si>
  <si>
    <t>39號單價分析表</t>
  </si>
  <si>
    <t>40號單價分析表</t>
  </si>
  <si>
    <t>41號單價分析表</t>
  </si>
  <si>
    <t>42號單價分析表</t>
  </si>
  <si>
    <t>43號單價分析表</t>
  </si>
  <si>
    <t>44號單價分析表</t>
  </si>
  <si>
    <t>11座給水井每座6支</t>
  </si>
  <si>
    <t>詳見詳圖</t>
  </si>
  <si>
    <t>親水階梯</t>
  </si>
  <si>
    <t>（（87.5-78.6）0.175）*1.2=61</t>
  </si>
  <si>
    <t>342.85/12+1=30</t>
  </si>
  <si>
    <t>405/12+1=36</t>
  </si>
  <si>
    <t>247/12+1=22</t>
  </si>
  <si>
    <t>共 2頁 第 1 頁</t>
  </si>
  <si>
    <t>共 2頁 第 2 頁</t>
  </si>
  <si>
    <t>A型集水井 11座</t>
  </si>
  <si>
    <t>B型集水井 5座</t>
  </si>
  <si>
    <t>鋼筋檢驗費</t>
  </si>
  <si>
    <t>件</t>
  </si>
  <si>
    <t>高鍍鋅鐵線被覆PVC石籠檢驗</t>
  </si>
  <si>
    <t>含抗拉,延伸率,比重及鍍鋅量檢驗</t>
  </si>
  <si>
    <t>件</t>
  </si>
  <si>
    <t>次</t>
  </si>
  <si>
    <t>工地密度試驗</t>
  </si>
  <si>
    <t>瀝青含量試驗</t>
  </si>
  <si>
    <t>瀝青壓實度試驗</t>
  </si>
  <si>
    <t>次</t>
  </si>
  <si>
    <t>每批材料進場時</t>
  </si>
  <si>
    <t>止水帶試驗</t>
  </si>
  <si>
    <t>新拌混凝土氯離子含量試驗</t>
  </si>
  <si>
    <t>含取樣及含水量試驗</t>
  </si>
  <si>
    <t>加勁格網材質</t>
  </si>
  <si>
    <t>加勁格網強度試驗</t>
  </si>
  <si>
    <t>加勁格網單一節點強度</t>
  </si>
  <si>
    <r>
      <t xml:space="preserve"> 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空氣污染防制費</t>
    </r>
  </si>
  <si>
    <r>
      <t xml:space="preserve"> 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工程管理費</t>
    </r>
  </si>
  <si>
    <t xml:space="preserve">  工期:300天      預定開工: 93 年 2 月 10日         預定完工: 93 年  12月 5 日</t>
  </si>
  <si>
    <t>側溝（1M*1M）</t>
  </si>
  <si>
    <t>側溝（1M*0.8M）</t>
  </si>
  <si>
    <t>600M3/次</t>
  </si>
  <si>
    <t>1件/25T</t>
  </si>
  <si>
    <t>200M3/次</t>
  </si>
  <si>
    <t>每批材料進場時取樣</t>
  </si>
  <si>
    <t>土壤最大乾密度試驗</t>
  </si>
  <si>
    <t>路床級配料最大乾密度試驗</t>
  </si>
  <si>
    <t>含取樣</t>
  </si>
  <si>
    <t>含取樣、土壤分類試驗</t>
  </si>
  <si>
    <t>瀝青骨材粒徑篩分析試驗</t>
  </si>
  <si>
    <t>現場進料時取樣</t>
  </si>
  <si>
    <t>瀝青拌合場取樣</t>
  </si>
  <si>
    <t>三十公里以上</t>
  </si>
  <si>
    <t>（9.7-1.5）*0.1*99.24=81.38</t>
  </si>
  <si>
    <t>7號單價分析表</t>
  </si>
  <si>
    <t>U溝使用</t>
  </si>
  <si>
    <t>箱涵（甲型）PC打底0+000~0+342.85</t>
  </si>
  <si>
    <t>箱涵（乙型）PC打底5座長度6M</t>
  </si>
  <si>
    <t>B 0+000~0+247    PC打底</t>
  </si>
  <si>
    <t>0+380~0+428.47    防洪牆基座(A8)</t>
  </si>
  <si>
    <t>0+320~0+380       防洪牆基座(A9)</t>
  </si>
  <si>
    <t>0+260~0+320        防洪牆基座(A10)</t>
  </si>
  <si>
    <t>0+200~0+260       防洪牆基座(A11)</t>
  </si>
  <si>
    <t>0+120.56~0+200      防洪牆基座(A12)</t>
  </si>
  <si>
    <t>0+000~0+099.24      防洪牆基座(A12)</t>
  </si>
  <si>
    <t xml:space="preserve"> A 0+000~0+428.5   欄杆基座</t>
  </si>
  <si>
    <t>B 0+000~0+247    防洪牆</t>
  </si>
  <si>
    <t>箱涵（乙型）          5座長6M</t>
  </si>
  <si>
    <t>B型給水井PC打底   5座</t>
  </si>
  <si>
    <t>A型給水井PC打底   11座</t>
  </si>
  <si>
    <t>B 0+000~0+247       PC打底</t>
  </si>
  <si>
    <t>0+380~0+428.47    防洪牆PC打底(A8)</t>
  </si>
  <si>
    <t>0+320~0+380       防洪牆PC打底(A9)</t>
  </si>
  <si>
    <t>0+260~0+320         防洪牆PC打底(A10)</t>
  </si>
  <si>
    <t>0+200~0+260        防洪牆PC打底(A11)</t>
  </si>
  <si>
    <t>0+120.56~0+200     防洪牆PC打底(A12)</t>
  </si>
  <si>
    <t>0+000~0+099.24     防洪牆PC打底(A12)</t>
  </si>
  <si>
    <t>B 0+000~0+247      防洪牆</t>
  </si>
  <si>
    <t>0+000~0+428.5      欄杆基座</t>
  </si>
  <si>
    <r>
      <t>200</t>
    </r>
    <r>
      <rPr>
        <sz val="12"/>
        <rFont val="細明體"/>
        <family val="3"/>
      </rPr>
      <t>上</t>
    </r>
  </si>
  <si>
    <r>
      <t>200</t>
    </r>
    <r>
      <rPr>
        <sz val="12"/>
        <rFont val="細明體"/>
        <family val="3"/>
      </rPr>
      <t>下</t>
    </r>
  </si>
  <si>
    <t>（2.25+7+5.9）*175.6=2661</t>
  </si>
  <si>
    <t>共 11頁 第 4 頁</t>
  </si>
  <si>
    <t>共 11頁 第 5 頁</t>
  </si>
  <si>
    <t>共 11頁 第 6 頁</t>
  </si>
  <si>
    <t>共 11頁 第 7 頁</t>
  </si>
  <si>
    <t>共 11頁 第 8 頁</t>
  </si>
  <si>
    <t>共 11頁 第 9 頁</t>
  </si>
  <si>
    <t>共 11頁 第 10 頁</t>
  </si>
  <si>
    <t>0.1*2*（428.5-23.2）=81.1</t>
  </si>
  <si>
    <t>A 0+000~0+428.5     PC打底</t>
  </si>
  <si>
    <t>（（6278.5+2073.4+1760+18022.4）*99.24/12）/1000=232.67</t>
  </si>
  <si>
    <t>（（6278.5+2073.4+1760+18022.4）*79.44/12）/1000=186.25</t>
  </si>
  <si>
    <t>（（7314.9+1348.7+13141.3）*60/12）/1000=109.02</t>
  </si>
  <si>
    <t>（（6740.5+1348.7+5593.8+4061.4）*60/12）/1000=88.72</t>
  </si>
  <si>
    <t>（（6195.7+1348.7+7763.2）*60/12）/1000=76.54</t>
  </si>
  <si>
    <t>（（5650.9+1348.7+5650.9）*48.47/12）/1000=51.1</t>
  </si>
  <si>
    <t>（（8298+8020）*247/12）/1000=335.89</t>
  </si>
  <si>
    <t>（445.6+119.6）*11/1000=6.22</t>
  </si>
  <si>
    <t>395.8*5/1000=1.98</t>
  </si>
  <si>
    <t>（（3037.6+5539.8+423.8+58.5）/12）*342.85/1000=258.84</t>
  </si>
  <si>
    <t>（（3037.6+5539.8+423.8+58.5）/12）*5*6/1000=22.65</t>
  </si>
  <si>
    <t>（1328.1+777+20.1）/1000=2.13</t>
  </si>
  <si>
    <t>詳見土方表</t>
  </si>
  <si>
    <t>39.3*99.24=3900.1</t>
  </si>
  <si>
    <t>39.3*79.44=3122</t>
  </si>
  <si>
    <t>33.52*60=2011.2</t>
  </si>
  <si>
    <t>27.72*60=1663.2</t>
  </si>
  <si>
    <t>20.72*60=1243.2</t>
  </si>
  <si>
    <t>19.12*48.47=926.8</t>
  </si>
  <si>
    <t>0.5*0.5*（428.5-21.32）=101.8</t>
  </si>
  <si>
    <t>27.5*247=6793</t>
  </si>
  <si>
    <t>（3.18-1.2）*2*0.2*5=4</t>
  </si>
  <si>
    <t>（（3.7*2.7）-（3*2））*5*6=120</t>
  </si>
  <si>
    <t>（4.2+1.7+6+1.7+6+4.7）*0.3*1.2=8.75</t>
  </si>
  <si>
    <t>（（2.7*1.5）-（2.1*0.9））*11=23.8</t>
  </si>
  <si>
    <t>（（3.7*2.7）-（3*2））*342.85=1367</t>
  </si>
  <si>
    <t>（9.7-1.5）*0.1*79.44=65.14</t>
  </si>
  <si>
    <t>（9-1.5）*0.1*60=45</t>
  </si>
  <si>
    <t>（8.5-1.5）*0.1*60=42</t>
  </si>
  <si>
    <t>（8-1.5）*0.1*60=39</t>
  </si>
  <si>
    <t>（7.5-1.5）*0.1*48.47=29.1</t>
  </si>
  <si>
    <t>0.83*247=205</t>
  </si>
  <si>
    <t>1.7*0.05*11=0.94</t>
  </si>
  <si>
    <t>1.7*0.05*5=0.43</t>
  </si>
  <si>
    <t xml:space="preserve">  工期:300天      預定開工: 93 年 2 月 20日         預定完工: 93 年  12月 15 日</t>
  </si>
  <si>
    <t>10日</t>
  </si>
  <si>
    <t>15日</t>
  </si>
  <si>
    <t xml:space="preserve">350--1組            210--13組     </t>
  </si>
  <si>
    <t xml:space="preserve">350--1組            210--13組     </t>
  </si>
  <si>
    <r>
      <t>每</t>
    </r>
    <r>
      <rPr>
        <sz val="10"/>
        <rFont val="Times New Roman"/>
        <family val="1"/>
      </rPr>
      <t>m</t>
    </r>
  </si>
  <si>
    <t>號數</t>
  </si>
  <si>
    <t>沃土回填</t>
  </si>
  <si>
    <t>工料項目</t>
  </si>
  <si>
    <t>說明</t>
  </si>
  <si>
    <t>數量</t>
  </si>
  <si>
    <t>單價</t>
  </si>
  <si>
    <t>總價</t>
  </si>
  <si>
    <t>附註</t>
  </si>
  <si>
    <t>壤土</t>
  </si>
  <si>
    <r>
      <t>m</t>
    </r>
    <r>
      <rPr>
        <vertAlign val="superscript"/>
        <sz val="10"/>
        <rFont val="標楷體"/>
        <family val="4"/>
      </rPr>
      <t>3</t>
    </r>
  </si>
  <si>
    <t>堆肥</t>
  </si>
  <si>
    <t>拌合土</t>
  </si>
  <si>
    <t>回填土</t>
  </si>
  <si>
    <t>工具耗損</t>
  </si>
  <si>
    <t>單     位</t>
  </si>
  <si>
    <t>株</t>
  </si>
  <si>
    <t>工料項目</t>
  </si>
  <si>
    <t>總      價</t>
  </si>
  <si>
    <t>附    註</t>
  </si>
  <si>
    <t>h</t>
  </si>
  <si>
    <t>含運費、養護</t>
  </si>
  <si>
    <t>有機肥</t>
  </si>
  <si>
    <t>混合於土壤中</t>
  </si>
  <si>
    <t>搬運工</t>
  </si>
  <si>
    <t>植栽工</t>
  </si>
  <si>
    <t>株</t>
  </si>
  <si>
    <t>工程項目</t>
  </si>
  <si>
    <t>單     位</t>
  </si>
  <si>
    <t>株</t>
  </si>
  <si>
    <t>紫花馬櫻丹</t>
  </si>
  <si>
    <t>馬鞍藤</t>
  </si>
  <si>
    <t>蟛蜞菊</t>
  </si>
  <si>
    <t>百慕達草皮</t>
  </si>
  <si>
    <t>植生槽</t>
  </si>
  <si>
    <t>槭樹</t>
  </si>
  <si>
    <t>株</t>
  </si>
  <si>
    <t>栽植維護</t>
  </si>
  <si>
    <t>2個月</t>
  </si>
  <si>
    <t>百幕達草皮</t>
  </si>
  <si>
    <t>h=20~30cm</t>
  </si>
  <si>
    <t>株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</si>
</sst>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00"/>
    <numFmt numFmtId="178" formatCode="_-* #,##0_-;\-* #,##0_-;_-* &quot;-&quot;??_-;_-@_-"/>
    <numFmt numFmtId="179" formatCode="&quot;$&quot;#,##0_);[Red]\(&quot;$&quot;#,##0\)"/>
    <numFmt numFmtId="180" formatCode="[$-404]e&quot;年&quot;m&quot;月 日&quot;"/>
    <numFmt numFmtId="181" formatCode="000"/>
    <numFmt numFmtId="182" formatCode="#,##0.0"/>
    <numFmt numFmtId="183" formatCode="#,##0.000;[Red]\-#,##0.000"/>
    <numFmt numFmtId="184" formatCode="#,##0.00_);[Red]\(#,##0.00\)"/>
    <numFmt numFmtId="185" formatCode="0_);[Red]\(0\)"/>
    <numFmt numFmtId="186" formatCode="#,##0.0000;[Red]\-#,##0.0000"/>
    <numFmt numFmtId="187" formatCode="#,##0.00_ "/>
    <numFmt numFmtId="188" formatCode="0.000_);[Red]\(0.000\)"/>
    <numFmt numFmtId="189" formatCode="0.0000_);[Red]\(0.0000\)"/>
    <numFmt numFmtId="190" formatCode="0.00_ "/>
    <numFmt numFmtId="191" formatCode="#,##0_);[Red]\(#,##0\)"/>
    <numFmt numFmtId="192" formatCode="0.000000"/>
    <numFmt numFmtId="193" formatCode="0.00000_);[Red]\(0.00000\)"/>
    <numFmt numFmtId="194" formatCode="#,##0.0_ "/>
    <numFmt numFmtId="195" formatCode="#,##0_ "/>
    <numFmt numFmtId="196" formatCode="0.0000%"/>
    <numFmt numFmtId="197" formatCode="0.000_ "/>
    <numFmt numFmtId="198" formatCode="[$-404]e&quot;年&quot;m&quot;月  日&quot;"/>
    <numFmt numFmtId="199" formatCode="0.0_ "/>
    <numFmt numFmtId="200" formatCode="0.000000_);[Red]\(0.000000\)"/>
    <numFmt numFmtId="201" formatCode="0_ "/>
    <numFmt numFmtId="202" formatCode="_-* #,##0.000_-;\-* #,##0.000_-;_-* &quot;-&quot;??_-;_-@_-"/>
    <numFmt numFmtId="203" formatCode="m&quot;月&quot;d&quot;日&quot;"/>
    <numFmt numFmtId="204" formatCode="#,##0.00;[Red]#,##0.00"/>
    <numFmt numFmtId="205" formatCode="0.00;[Red]0.00"/>
    <numFmt numFmtId="206" formatCode="[$-404]gge&quot;年&quot;m&quot;月&quot;d&quot;日&quot;;@"/>
    <numFmt numFmtId="207" formatCode="[DBNum1][$-404]gge&quot;年&quot;m&quot;月&quot;d&quot;日&quot;;@"/>
    <numFmt numFmtId="208" formatCode="[DBNum1][$-404]gge&quot;年&quot;m&quot;月&quot;\ &quot;日&quot;;@"/>
    <numFmt numFmtId="209" formatCode="[$-404]gge&quot;年&quot;m&quot;月&quot;\ &quot;日&quot;;@"/>
    <numFmt numFmtId="210" formatCode="&quot;$&quot;#,##0"/>
    <numFmt numFmtId="211" formatCode="[$-404]AM/PM\ hh:mm:ss"/>
    <numFmt numFmtId="212" formatCode="0.0000_ "/>
    <numFmt numFmtId="213" formatCode="0.00000_ "/>
    <numFmt numFmtId="214" formatCode="0.0_);[Red]\(0.0\)"/>
    <numFmt numFmtId="215" formatCode="#,##0.0;[Red]\-#,##0.0"/>
    <numFmt numFmtId="216" formatCode="&quot;共&quot;\1\3&quot;頁&quot;&quot;第&quot;\1&quot;頁&quot;"/>
    <numFmt numFmtId="217" formatCode="#,##0.000"/>
    <numFmt numFmtId="218" formatCode="#,##0.00_ ;[Red]\-#,##0.00\ "/>
    <numFmt numFmtId="219" formatCode="#,##0.000_);\(#,##0.000\)"/>
    <numFmt numFmtId="220" formatCode="#,##0.000_ "/>
    <numFmt numFmtId="221" formatCode="0.000000_ "/>
    <numFmt numFmtId="222" formatCode="0.0000000_ "/>
    <numFmt numFmtId="223" formatCode="0.00000000_ "/>
    <numFmt numFmtId="224" formatCode="0.000000000_ "/>
    <numFmt numFmtId="225" formatCode="0.0000000000_ "/>
    <numFmt numFmtId="226" formatCode="0.00000000000_ "/>
    <numFmt numFmtId="227" formatCode="0.000000000000_ "/>
    <numFmt numFmtId="228" formatCode="#,##0.0_);[Red]\(#,##0.0\)"/>
    <numFmt numFmtId="229" formatCode="#,##0.0;[Red]#,##0.0"/>
    <numFmt numFmtId="230" formatCode="_-* #,##0.0_-;\-* #,##0.0_-;_-* &quot;-&quot;??_-;_-@_-"/>
    <numFmt numFmtId="231" formatCode="#,##0.000_);[Red]\(#,##0.000\)"/>
    <numFmt numFmtId="232" formatCode="000.0"/>
    <numFmt numFmtId="233" formatCode="000.00"/>
  </numFmts>
  <fonts count="77">
    <font>
      <sz val="12"/>
      <name val="新細明體"/>
      <family val="1"/>
    </font>
    <font>
      <sz val="9"/>
      <name val="新細明體"/>
      <family val="1"/>
    </font>
    <font>
      <sz val="20"/>
      <name val="全真楷書"/>
      <family val="3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全真楷書"/>
      <family val="1"/>
    </font>
    <font>
      <vertAlign val="superscript"/>
      <sz val="12"/>
      <color indexed="63"/>
      <name val="Times New Roman"/>
      <family val="1"/>
    </font>
    <font>
      <sz val="9"/>
      <name val="CG Times (W1)"/>
      <family val="1"/>
    </font>
    <font>
      <sz val="12"/>
      <name val="Courier"/>
      <family val="3"/>
    </font>
    <font>
      <sz val="16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vertAlign val="superscript"/>
      <sz val="12"/>
      <name val="標楷體"/>
      <family val="4"/>
    </font>
    <font>
      <sz val="20"/>
      <name val="標楷體"/>
      <family val="4"/>
    </font>
    <font>
      <sz val="8"/>
      <name val="Times New Roman"/>
      <family val="1"/>
    </font>
    <font>
      <sz val="6"/>
      <name val="標楷體"/>
      <family val="4"/>
    </font>
    <font>
      <sz val="16"/>
      <color indexed="10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b/>
      <sz val="9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12"/>
      <name val="細明體"/>
      <family val="3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8"/>
      <name val="Times New Roman"/>
      <family val="1"/>
    </font>
    <font>
      <sz val="16"/>
      <color indexed="10"/>
      <name val="標楷體"/>
      <family val="4"/>
    </font>
    <font>
      <sz val="12"/>
      <color indexed="8"/>
      <name val="Times New Roman"/>
      <family val="1"/>
    </font>
    <font>
      <b/>
      <sz val="16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6"/>
      <color indexed="10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9"/>
      <name val="標楷體"/>
      <family val="4"/>
    </font>
    <font>
      <sz val="7"/>
      <color indexed="8"/>
      <name val="標楷體"/>
      <family val="4"/>
    </font>
    <font>
      <vertAlign val="superscript"/>
      <sz val="10"/>
      <name val="標楷體"/>
      <family val="4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標楷體"/>
      <family val="4"/>
    </font>
    <font>
      <vertAlign val="superscript"/>
      <sz val="8"/>
      <name val="標楷體"/>
      <family val="4"/>
    </font>
    <font>
      <b/>
      <vertAlign val="superscript"/>
      <sz val="10"/>
      <name val="標楷體"/>
      <family val="4"/>
    </font>
    <font>
      <b/>
      <sz val="12"/>
      <color indexed="8"/>
      <name val="標楷體"/>
      <family val="4"/>
    </font>
    <font>
      <sz val="11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6"/>
      <color indexed="8"/>
      <name val="標楷體"/>
      <family val="4"/>
    </font>
    <font>
      <b/>
      <sz val="14"/>
      <name val="細明體"/>
      <family val="3"/>
    </font>
    <font>
      <b/>
      <sz val="14"/>
      <name val="新細明體"/>
      <family val="1"/>
    </font>
    <font>
      <vertAlign val="superscript"/>
      <sz val="10"/>
      <name val="Times New Roman"/>
      <family val="1"/>
    </font>
    <font>
      <sz val="9"/>
      <color indexed="10"/>
      <name val="標楷體"/>
      <family val="4"/>
    </font>
    <font>
      <b/>
      <sz val="9"/>
      <color indexed="8"/>
      <name val="標楷體"/>
      <family val="4"/>
    </font>
    <font>
      <b/>
      <sz val="10"/>
      <color indexed="8"/>
      <name val="標楷體"/>
      <family val="4"/>
    </font>
    <font>
      <sz val="8"/>
      <name val="新細明體"/>
      <family val="1"/>
    </font>
    <font>
      <sz val="10"/>
      <name val="Symbol"/>
      <family val="1"/>
    </font>
    <font>
      <vertAlign val="superscript"/>
      <sz val="12"/>
      <color indexed="8"/>
      <name val="標楷體"/>
      <family val="4"/>
    </font>
    <font>
      <vertAlign val="superscript"/>
      <sz val="10"/>
      <color indexed="8"/>
      <name val="標楷體"/>
      <family val="4"/>
    </font>
    <font>
      <sz val="8"/>
      <name val="細明體"/>
      <family val="3"/>
    </font>
    <font>
      <sz val="10"/>
      <color indexed="10"/>
      <name val="標楷體"/>
      <family val="4"/>
    </font>
    <font>
      <sz val="10"/>
      <color indexed="8"/>
      <name val="細明體"/>
      <family val="3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ck">
        <color indexed="12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12"/>
      </left>
      <right style="thin">
        <color indexed="39"/>
      </right>
      <top style="double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medium"/>
      <bottom style="thin"/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medium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double">
        <color indexed="12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12"/>
      </left>
      <right style="thin">
        <color indexed="12"/>
      </right>
      <top style="thin">
        <color indexed="10"/>
      </top>
      <bottom style="thin">
        <color indexed="10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12"/>
      </left>
      <right style="double">
        <color indexed="12"/>
      </right>
      <top style="medium">
        <color indexed="39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10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39"/>
      </bottom>
    </border>
    <border>
      <left style="thin">
        <color indexed="12"/>
      </left>
      <right>
        <color indexed="63"/>
      </right>
      <top style="thin">
        <color indexed="10"/>
      </top>
      <bottom style="medium">
        <color indexed="39"/>
      </bottom>
    </border>
    <border>
      <left style="medium">
        <color indexed="39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0"/>
      </top>
      <bottom style="thin">
        <color indexed="10"/>
      </bottom>
    </border>
    <border>
      <left style="double">
        <color indexed="12"/>
      </left>
      <right style="thin">
        <color indexed="12"/>
      </right>
      <top style="hair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 style="hair">
        <color indexed="10"/>
      </top>
      <bottom style="thin">
        <color indexed="10"/>
      </bottom>
    </border>
    <border>
      <left style="thin">
        <color indexed="12"/>
      </left>
      <right style="double">
        <color indexed="12"/>
      </right>
      <top style="hair">
        <color indexed="10"/>
      </top>
      <bottom style="thin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39"/>
      </right>
      <top style="thin">
        <color indexed="10"/>
      </top>
      <bottom style="medium">
        <color indexed="39"/>
      </bottom>
    </border>
    <border>
      <left style="double">
        <color indexed="12"/>
      </left>
      <right>
        <color indexed="63"/>
      </right>
      <top style="medium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medium">
        <color indexed="12"/>
      </top>
      <bottom style="thin">
        <color indexed="10"/>
      </bottom>
    </border>
    <border>
      <left>
        <color indexed="63"/>
      </left>
      <right style="hair"/>
      <top style="medium"/>
      <bottom style="thin"/>
    </border>
    <border>
      <left style="double">
        <color indexed="12"/>
      </left>
      <right>
        <color indexed="63"/>
      </right>
      <top style="hair">
        <color indexed="10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39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hair">
        <color indexed="10"/>
      </top>
      <bottom style="thin">
        <color indexed="10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12"/>
      </top>
      <bottom>
        <color indexed="63"/>
      </bottom>
    </border>
    <border>
      <left style="double">
        <color indexed="12"/>
      </left>
      <right style="medium">
        <color indexed="39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39"/>
      </right>
      <top style="medium">
        <color indexed="12"/>
      </top>
      <bottom style="thin">
        <color indexed="10"/>
      </bottom>
    </border>
    <border>
      <left style="double">
        <color indexed="12"/>
      </left>
      <right style="medium">
        <color indexed="39"/>
      </right>
      <top style="hair">
        <color indexed="10"/>
      </top>
      <bottom style="thin">
        <color indexed="10"/>
      </bottom>
    </border>
    <border>
      <left style="double">
        <color indexed="12"/>
      </left>
      <right style="medium">
        <color indexed="39"/>
      </right>
      <top style="medium">
        <color indexed="39"/>
      </top>
      <bottom style="medium">
        <color indexed="12"/>
      </bottom>
    </border>
    <border>
      <left style="double">
        <color indexed="12"/>
      </left>
      <right style="medium">
        <color indexed="39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medium">
        <color indexed="39"/>
      </right>
      <top>
        <color indexed="63"/>
      </top>
      <bottom style="thin">
        <color indexed="10"/>
      </bottom>
    </border>
    <border>
      <left style="double">
        <color indexed="12"/>
      </left>
      <right style="thin">
        <color indexed="12"/>
      </right>
      <top style="thin">
        <color indexed="10"/>
      </top>
      <bottom style="medium">
        <color indexed="39"/>
      </bottom>
    </border>
    <border>
      <left style="thin">
        <color indexed="12"/>
      </left>
      <right style="double">
        <color indexed="12"/>
      </right>
      <top style="thin">
        <color indexed="10"/>
      </top>
      <bottom style="medium">
        <color indexed="39"/>
      </bottom>
    </border>
    <border>
      <left style="double">
        <color indexed="12"/>
      </left>
      <right style="medium">
        <color indexed="39"/>
      </right>
      <top style="thin">
        <color indexed="10"/>
      </top>
      <bottom style="medium">
        <color indexed="39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hair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ck">
        <color indexed="1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medium">
        <color indexed="39"/>
      </top>
      <bottom style="medium">
        <color indexed="12"/>
      </bottom>
    </border>
    <border>
      <left style="double">
        <color indexed="12"/>
      </left>
      <right style="medium">
        <color indexed="39"/>
      </right>
      <top style="medium">
        <color indexed="39"/>
      </top>
      <bottom>
        <color indexed="63"/>
      </bottom>
    </border>
    <border>
      <left style="double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>
      <alignment horizontal="left" vertical="center"/>
      <protection/>
    </xf>
    <xf numFmtId="0" fontId="8" fillId="0" borderId="1" applyNumberFormat="0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3" applyNumberFormat="0" applyFill="0" applyProtection="0">
      <alignment horizontal="left"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4" applyFill="0" applyProtection="0">
      <alignment horizontal="right" vertical="center"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5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83">
    <xf numFmtId="0" fontId="0" fillId="0" borderId="0" xfId="0" applyAlignment="1">
      <alignment/>
    </xf>
    <xf numFmtId="4" fontId="10" fillId="0" borderId="0" xfId="19" applyNumberFormat="1" applyFont="1" applyAlignment="1">
      <alignment horizontal="centerContinuous" vertical="center"/>
      <protection/>
    </xf>
    <xf numFmtId="4" fontId="11" fillId="0" borderId="0" xfId="19" applyNumberFormat="1" applyFont="1" applyAlignment="1">
      <alignment horizontal="centerContinuous" vertical="center"/>
      <protection/>
    </xf>
    <xf numFmtId="4" fontId="12" fillId="0" borderId="0" xfId="19" applyNumberFormat="1" applyFont="1" applyAlignment="1">
      <alignment horizontal="centerContinuous" vertical="center"/>
      <protection/>
    </xf>
    <xf numFmtId="4" fontId="12" fillId="0" borderId="0" xfId="19" applyNumberFormat="1" applyFont="1" applyAlignment="1">
      <alignment vertical="center"/>
      <protection/>
    </xf>
    <xf numFmtId="4" fontId="12" fillId="0" borderId="6" xfId="19" applyNumberFormat="1" applyFont="1" applyBorder="1" applyAlignment="1">
      <alignment horizontal="distributed" vertical="center"/>
      <protection/>
    </xf>
    <xf numFmtId="4" fontId="12" fillId="0" borderId="7" xfId="19" applyNumberFormat="1" applyFont="1" applyBorder="1" applyAlignment="1">
      <alignment horizontal="distributed" vertical="center"/>
      <protection/>
    </xf>
    <xf numFmtId="4" fontId="12" fillId="0" borderId="8" xfId="19" applyNumberFormat="1" applyFont="1" applyBorder="1" applyAlignment="1">
      <alignment horizontal="distributed" vertical="center"/>
      <protection/>
    </xf>
    <xf numFmtId="4" fontId="13" fillId="0" borderId="9" xfId="19" applyNumberFormat="1" applyFont="1" applyBorder="1" applyAlignment="1">
      <alignment vertical="center"/>
      <protection/>
    </xf>
    <xf numFmtId="4" fontId="13" fillId="0" borderId="10" xfId="19" applyNumberFormat="1" applyFont="1" applyBorder="1" applyAlignment="1">
      <alignment horizontal="center" vertical="center"/>
      <protection/>
    </xf>
    <xf numFmtId="4" fontId="12" fillId="0" borderId="11" xfId="19" applyNumberFormat="1" applyFont="1" applyBorder="1" applyAlignment="1">
      <alignment vertical="center"/>
      <protection/>
    </xf>
    <xf numFmtId="4" fontId="13" fillId="0" borderId="12" xfId="19" applyNumberFormat="1" applyFont="1" applyBorder="1" applyAlignment="1">
      <alignment vertical="center"/>
      <protection/>
    </xf>
    <xf numFmtId="4" fontId="13" fillId="0" borderId="13" xfId="19" applyNumberFormat="1" applyFont="1" applyBorder="1" applyAlignment="1">
      <alignment vertical="center"/>
      <protection/>
    </xf>
    <xf numFmtId="4" fontId="12" fillId="0" borderId="0" xfId="19" applyNumberFormat="1" applyFont="1" applyBorder="1" applyAlignment="1">
      <alignment vertical="center"/>
      <protection/>
    </xf>
    <xf numFmtId="4" fontId="12" fillId="0" borderId="0" xfId="19" applyNumberFormat="1" applyFont="1">
      <alignment/>
      <protection/>
    </xf>
    <xf numFmtId="4" fontId="12" fillId="0" borderId="0" xfId="19" applyNumberFormat="1" applyFont="1" applyAlignment="1">
      <alignment horizontal="center"/>
      <protection/>
    </xf>
    <xf numFmtId="4" fontId="13" fillId="0" borderId="10" xfId="19" applyNumberFormat="1" applyFont="1" applyBorder="1" applyAlignment="1">
      <alignment vertical="center"/>
      <protection/>
    </xf>
    <xf numFmtId="4" fontId="13" fillId="0" borderId="10" xfId="19" applyNumberFormat="1" applyFont="1" applyBorder="1" applyAlignment="1" quotePrefix="1">
      <alignment horizontal="center" vertical="center"/>
      <protection/>
    </xf>
    <xf numFmtId="4" fontId="12" fillId="0" borderId="14" xfId="19" applyNumberFormat="1" applyFont="1" applyBorder="1" applyAlignment="1">
      <alignment vertical="center"/>
      <protection/>
    </xf>
    <xf numFmtId="4" fontId="13" fillId="0" borderId="14" xfId="19" applyNumberFormat="1" applyFont="1" applyBorder="1" applyAlignment="1">
      <alignment horizontal="distributed" vertical="center"/>
      <protection/>
    </xf>
    <xf numFmtId="4" fontId="13" fillId="0" borderId="0" xfId="19" applyNumberFormat="1" applyFont="1" applyBorder="1" applyAlignment="1">
      <alignment horizontal="center" vertical="center"/>
      <protection/>
    </xf>
    <xf numFmtId="4" fontId="16" fillId="0" borderId="10" xfId="19" applyNumberFormat="1" applyFont="1" applyBorder="1" applyAlignment="1">
      <alignment horizontal="center" vertical="center"/>
      <protection/>
    </xf>
    <xf numFmtId="4" fontId="16" fillId="0" borderId="10" xfId="19" applyNumberFormat="1" applyFont="1" applyBorder="1" applyAlignment="1">
      <alignment horizontal="center" vertical="center" wrapText="1"/>
      <protection/>
    </xf>
    <xf numFmtId="4" fontId="5" fillId="0" borderId="10" xfId="19" applyNumberFormat="1" applyFont="1" applyBorder="1" applyAlignment="1" quotePrefix="1">
      <alignment horizontal="center" vertical="center"/>
      <protection/>
    </xf>
    <xf numFmtId="4" fontId="22" fillId="0" borderId="9" xfId="19" applyNumberFormat="1" applyFont="1" applyBorder="1" applyAlignment="1">
      <alignment horizontal="left" vertical="center" wrapText="1"/>
      <protection/>
    </xf>
    <xf numFmtId="4" fontId="13" fillId="0" borderId="10" xfId="19" applyNumberFormat="1" applyFont="1" applyBorder="1" applyAlignment="1" quotePrefix="1">
      <alignment vertical="center"/>
      <protection/>
    </xf>
    <xf numFmtId="4" fontId="16" fillId="0" borderId="9" xfId="19" applyNumberFormat="1" applyFont="1" applyBorder="1" applyAlignment="1">
      <alignment horizontal="center" vertical="center" wrapText="1"/>
      <protection/>
    </xf>
    <xf numFmtId="0" fontId="12" fillId="0" borderId="0" xfId="22" applyFont="1" applyAlignment="1" applyProtection="1" quotePrefix="1">
      <alignment horizontal="left" vertical="center"/>
      <protection/>
    </xf>
    <xf numFmtId="4" fontId="12" fillId="0" borderId="0" xfId="20" applyNumberFormat="1" applyFont="1" applyAlignment="1">
      <alignment horizontal="centerContinuous" vertical="center"/>
      <protection/>
    </xf>
    <xf numFmtId="4" fontId="12" fillId="0" borderId="0" xfId="20" applyNumberFormat="1" applyFont="1" applyAlignment="1">
      <alignment vertical="center"/>
      <protection/>
    </xf>
    <xf numFmtId="4" fontId="10" fillId="0" borderId="0" xfId="20" applyNumberFormat="1" applyFont="1" applyAlignment="1">
      <alignment horizontal="centerContinuous" vertical="center"/>
      <protection/>
    </xf>
    <xf numFmtId="0" fontId="12" fillId="0" borderId="0" xfId="22" applyFont="1" applyAlignment="1" applyProtection="1">
      <alignment vertical="center"/>
      <protection/>
    </xf>
    <xf numFmtId="4" fontId="13" fillId="0" borderId="0" xfId="20" applyNumberFormat="1" applyFont="1" applyAlignment="1">
      <alignment vertical="center"/>
      <protection/>
    </xf>
    <xf numFmtId="4" fontId="13" fillId="0" borderId="15" xfId="20" applyNumberFormat="1" applyFont="1" applyBorder="1" applyAlignment="1">
      <alignment horizontal="center" vertical="center"/>
      <protection/>
    </xf>
    <xf numFmtId="0" fontId="12" fillId="0" borderId="0" xfId="23" applyFont="1" applyAlignment="1">
      <alignment horizontal="centerContinuous"/>
    </xf>
    <xf numFmtId="0" fontId="14" fillId="0" borderId="0" xfId="23" applyFont="1" applyAlignment="1" applyProtection="1">
      <alignment horizontal="right"/>
      <protection/>
    </xf>
    <xf numFmtId="0" fontId="15" fillId="0" borderId="5" xfId="23" applyFont="1" applyBorder="1" applyAlignment="1" applyProtection="1">
      <alignment horizontal="left" vertical="center"/>
      <protection/>
    </xf>
    <xf numFmtId="0" fontId="15" fillId="0" borderId="5" xfId="23" applyFont="1" applyBorder="1" applyAlignment="1">
      <alignment vertical="center"/>
    </xf>
    <xf numFmtId="40" fontId="13" fillId="0" borderId="15" xfId="32" applyFont="1" applyBorder="1" applyAlignment="1">
      <alignment horizontal="center" vertical="center"/>
    </xf>
    <xf numFmtId="0" fontId="15" fillId="0" borderId="5" xfId="22" applyFont="1" applyBorder="1" applyAlignment="1">
      <alignment vertical="center"/>
    </xf>
    <xf numFmtId="40" fontId="13" fillId="0" borderId="15" xfId="32" applyFont="1" applyBorder="1" applyAlignment="1" applyProtection="1">
      <alignment horizontal="center" vertical="center"/>
      <protection/>
    </xf>
    <xf numFmtId="40" fontId="16" fillId="0" borderId="16" xfId="32" applyFont="1" applyBorder="1" applyAlignment="1" applyProtection="1">
      <alignment horizontal="center" vertical="center"/>
      <protection/>
    </xf>
    <xf numFmtId="40" fontId="15" fillId="0" borderId="17" xfId="32" applyFont="1" applyBorder="1" applyAlignment="1" applyProtection="1">
      <alignment horizontal="left" vertical="center"/>
      <protection/>
    </xf>
    <xf numFmtId="0" fontId="15" fillId="0" borderId="17" xfId="18" applyFont="1" applyBorder="1" applyAlignment="1" applyProtection="1">
      <alignment horizontal="left" vertical="center"/>
      <protection/>
    </xf>
    <xf numFmtId="0" fontId="15" fillId="0" borderId="17" xfId="18" applyFont="1" applyBorder="1" applyProtection="1" quotePrefix="1">
      <alignment horizontal="left" vertical="center"/>
      <protection/>
    </xf>
    <xf numFmtId="0" fontId="15" fillId="0" borderId="17" xfId="18" applyFont="1" applyBorder="1" applyProtection="1">
      <alignment horizontal="left" vertical="center"/>
      <protection/>
    </xf>
    <xf numFmtId="40" fontId="13" fillId="0" borderId="16" xfId="32" applyFont="1" applyBorder="1" applyAlignment="1" applyProtection="1">
      <alignment horizontal="left" vertical="center"/>
      <protection/>
    </xf>
    <xf numFmtId="0" fontId="13" fillId="0" borderId="16" xfId="18" applyFont="1" applyBorder="1" applyAlignment="1" applyProtection="1">
      <alignment horizontal="left" vertical="center"/>
      <protection/>
    </xf>
    <xf numFmtId="40" fontId="13" fillId="0" borderId="15" xfId="32" applyFont="1" applyBorder="1" applyAlignment="1" applyProtection="1">
      <alignment horizontal="right" vertical="center"/>
      <protection/>
    </xf>
    <xf numFmtId="0" fontId="13" fillId="0" borderId="15" xfId="18" applyFont="1" applyBorder="1" applyAlignment="1">
      <alignment horizontal="left" vertical="center"/>
    </xf>
    <xf numFmtId="0" fontId="13" fillId="0" borderId="15" xfId="22" applyFont="1" applyBorder="1" applyAlignment="1">
      <alignment horizontal="center" vertical="center"/>
    </xf>
    <xf numFmtId="40" fontId="13" fillId="0" borderId="16" xfId="32" applyFont="1" applyBorder="1" applyAlignment="1">
      <alignment horizontal="center" vertical="center"/>
    </xf>
    <xf numFmtId="40" fontId="13" fillId="0" borderId="18" xfId="32" applyFont="1" applyBorder="1" applyAlignment="1">
      <alignment horizontal="center" vertical="center"/>
    </xf>
    <xf numFmtId="0" fontId="12" fillId="0" borderId="0" xfId="23" applyFont="1" applyBorder="1" applyAlignment="1" applyProtection="1">
      <alignment horizontal="centerContinuous"/>
      <protection/>
    </xf>
    <xf numFmtId="0" fontId="12" fillId="0" borderId="0" xfId="23" applyFont="1" applyBorder="1" applyAlignment="1">
      <alignment horizontal="centerContinuous"/>
    </xf>
    <xf numFmtId="0" fontId="13" fillId="0" borderId="0" xfId="23" applyFont="1" applyBorder="1" applyAlignment="1" applyProtection="1">
      <alignment horizontal="centerContinuous"/>
      <protection/>
    </xf>
    <xf numFmtId="4" fontId="12" fillId="0" borderId="0" xfId="21" applyNumberFormat="1" applyFont="1">
      <alignment/>
      <protection/>
    </xf>
    <xf numFmtId="0" fontId="13" fillId="0" borderId="0" xfId="23" applyFont="1" applyBorder="1" applyAlignment="1" applyProtection="1" quotePrefix="1">
      <alignment horizontal="right"/>
      <protection/>
    </xf>
    <xf numFmtId="0" fontId="12" fillId="0" borderId="19" xfId="23" applyFont="1" applyBorder="1" applyAlignment="1" quotePrefix="1">
      <alignment horizontal="left"/>
    </xf>
    <xf numFmtId="38" fontId="15" fillId="0" borderId="20" xfId="32" applyNumberFormat="1" applyFont="1" applyBorder="1" applyAlignment="1">
      <alignment horizontal="centerContinuous"/>
    </xf>
    <xf numFmtId="0" fontId="15" fillId="0" borderId="20" xfId="17" applyFont="1" applyBorder="1" applyAlignment="1">
      <alignment horizontal="centerContinuous"/>
      <protection/>
    </xf>
    <xf numFmtId="0" fontId="15" fillId="0" borderId="20" xfId="23" applyFont="1" applyBorder="1" applyAlignment="1">
      <alignment horizontal="centerContinuous"/>
    </xf>
    <xf numFmtId="40" fontId="15" fillId="0" borderId="20" xfId="32" applyFont="1" applyBorder="1" applyAlignment="1">
      <alignment horizontal="centerContinuous"/>
    </xf>
    <xf numFmtId="0" fontId="15" fillId="0" borderId="21" xfId="18" applyFont="1" applyBorder="1" applyAlignment="1" applyProtection="1">
      <alignment horizontal="centerContinuous"/>
      <protection/>
    </xf>
    <xf numFmtId="0" fontId="12" fillId="0" borderId="22" xfId="23" applyFont="1" applyBorder="1" applyAlignment="1" quotePrefix="1">
      <alignment horizontal="left" vertical="center"/>
    </xf>
    <xf numFmtId="0" fontId="15" fillId="0" borderId="5" xfId="18" applyFont="1" applyBorder="1" applyAlignment="1" applyProtection="1">
      <alignment horizontal="justify" vertical="center" wrapText="1"/>
      <protection/>
    </xf>
    <xf numFmtId="0" fontId="15" fillId="0" borderId="5" xfId="17" applyFont="1" applyBorder="1" applyAlignment="1">
      <alignment horizontal="center" vertical="center"/>
      <protection/>
    </xf>
    <xf numFmtId="40" fontId="15" fillId="0" borderId="5" xfId="32" applyNumberFormat="1" applyFont="1" applyBorder="1" applyProtection="1">
      <alignment horizontal="right" vertical="center"/>
      <protection/>
    </xf>
    <xf numFmtId="40" fontId="15" fillId="0" borderId="5" xfId="32" applyFont="1" applyBorder="1" applyProtection="1">
      <alignment horizontal="right" vertical="center"/>
      <protection/>
    </xf>
    <xf numFmtId="40" fontId="16" fillId="0" borderId="17" xfId="32" applyFont="1" applyBorder="1" applyAlignment="1" applyProtection="1">
      <alignment horizontal="left" vertical="center" wrapText="1"/>
      <protection/>
    </xf>
    <xf numFmtId="0" fontId="12" fillId="0" borderId="22" xfId="15" applyFont="1" applyBorder="1" applyAlignment="1" quotePrefix="1">
      <alignment horizontal="left" vertical="center"/>
      <protection/>
    </xf>
    <xf numFmtId="0" fontId="15" fillId="0" borderId="5" xfId="18" applyFont="1" applyBorder="1" applyProtection="1">
      <alignment horizontal="left" vertical="center"/>
      <protection/>
    </xf>
    <xf numFmtId="40" fontId="15" fillId="0" borderId="5" xfId="32" applyFont="1" applyBorder="1" applyAlignment="1" applyProtection="1">
      <alignment horizontal="center" vertical="center"/>
      <protection/>
    </xf>
    <xf numFmtId="183" fontId="15" fillId="0" borderId="5" xfId="32" applyNumberFormat="1" applyFont="1" applyBorder="1" applyProtection="1" quotePrefix="1">
      <alignment horizontal="right" vertical="center"/>
      <protection/>
    </xf>
    <xf numFmtId="40" fontId="15" fillId="0" borderId="17" xfId="32" applyFont="1" applyBorder="1" applyAlignment="1" applyProtection="1">
      <alignment horizontal="left" vertical="center" wrapText="1"/>
      <protection/>
    </xf>
    <xf numFmtId="40" fontId="15" fillId="0" borderId="5" xfId="32" applyFont="1" applyBorder="1" applyProtection="1" quotePrefix="1">
      <alignment horizontal="right" vertical="center"/>
      <protection/>
    </xf>
    <xf numFmtId="0" fontId="15" fillId="0" borderId="5" xfId="18" applyFont="1" applyBorder="1">
      <alignment horizontal="left" vertical="center"/>
    </xf>
    <xf numFmtId="40" fontId="15" fillId="0" borderId="5" xfId="32" applyFont="1" applyBorder="1" applyAlignment="1">
      <alignment vertical="center"/>
    </xf>
    <xf numFmtId="0" fontId="26" fillId="0" borderId="5" xfId="23" applyFont="1" applyBorder="1" applyAlignment="1">
      <alignment horizontal="center" vertical="center"/>
    </xf>
    <xf numFmtId="40" fontId="26" fillId="0" borderId="5" xfId="32" applyFont="1" applyBorder="1" applyAlignment="1">
      <alignment horizontal="left" vertical="center"/>
    </xf>
    <xf numFmtId="40" fontId="26" fillId="0" borderId="5" xfId="32" applyFont="1" applyBorder="1" applyAlignment="1">
      <alignment horizontal="right" vertical="center"/>
    </xf>
    <xf numFmtId="40" fontId="15" fillId="0" borderId="17" xfId="32" applyFont="1" applyBorder="1" applyAlignment="1">
      <alignment vertical="center"/>
    </xf>
    <xf numFmtId="40" fontId="15" fillId="0" borderId="23" xfId="32" applyFont="1" applyBorder="1" applyProtection="1">
      <alignment horizontal="right" vertical="center"/>
      <protection/>
    </xf>
    <xf numFmtId="4" fontId="17" fillId="0" borderId="24" xfId="20" applyNumberFormat="1" applyFont="1" applyBorder="1" applyAlignment="1">
      <alignment horizontal="center" vertical="center"/>
      <protection/>
    </xf>
    <xf numFmtId="4" fontId="5" fillId="0" borderId="10" xfId="19" applyNumberFormat="1" applyFont="1" applyBorder="1" applyAlignment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4" fontId="16" fillId="0" borderId="9" xfId="19" applyNumberFormat="1" applyFont="1" applyBorder="1" applyAlignment="1">
      <alignment horizontal="center" vertical="center"/>
      <protection/>
    </xf>
    <xf numFmtId="4" fontId="16" fillId="0" borderId="10" xfId="19" applyNumberFormat="1" applyFont="1" applyBorder="1" applyAlignment="1" quotePrefix="1">
      <alignment horizontal="center" vertical="center"/>
      <protection/>
    </xf>
    <xf numFmtId="0" fontId="15" fillId="0" borderId="5" xfId="22" applyFont="1" applyBorder="1" applyAlignment="1">
      <alignment horizontal="center" vertical="center"/>
    </xf>
    <xf numFmtId="4" fontId="12" fillId="0" borderId="0" xfId="19" applyNumberFormat="1" applyFont="1" applyBorder="1" applyAlignment="1">
      <alignment horizontal="centerContinuous" vertical="center"/>
      <protection/>
    </xf>
    <xf numFmtId="4" fontId="11" fillId="0" borderId="0" xfId="19" applyNumberFormat="1" applyFont="1" applyBorder="1" applyAlignment="1">
      <alignment horizontal="centerContinuous" vertical="center"/>
      <protection/>
    </xf>
    <xf numFmtId="0" fontId="12" fillId="0" borderId="0" xfId="22" applyFont="1" applyBorder="1" applyAlignment="1" applyProtection="1">
      <alignment vertical="center"/>
      <protection/>
    </xf>
    <xf numFmtId="4" fontId="12" fillId="0" borderId="0" xfId="19" applyNumberFormat="1" applyFont="1" applyBorder="1">
      <alignment/>
      <protection/>
    </xf>
    <xf numFmtId="4" fontId="12" fillId="0" borderId="0" xfId="19" applyNumberFormat="1" applyFont="1" applyBorder="1" applyAlignment="1">
      <alignment horizontal="center"/>
      <protection/>
    </xf>
    <xf numFmtId="4" fontId="12" fillId="0" borderId="25" xfId="20" applyNumberFormat="1" applyFont="1" applyBorder="1" applyAlignment="1">
      <alignment vertical="center"/>
      <protection/>
    </xf>
    <xf numFmtId="0" fontId="12" fillId="0" borderId="0" xfId="22" applyFont="1" applyBorder="1" applyAlignment="1" applyProtection="1" quotePrefix="1">
      <alignment horizontal="left" vertical="center"/>
      <protection/>
    </xf>
    <xf numFmtId="0" fontId="4" fillId="0" borderId="15" xfId="0" applyFont="1" applyBorder="1" applyAlignment="1">
      <alignment horizontal="center"/>
    </xf>
    <xf numFmtId="0" fontId="31" fillId="2" borderId="15" xfId="0" applyFont="1" applyFill="1" applyBorder="1" applyAlignment="1" quotePrefix="1">
      <alignment horizontal="left"/>
    </xf>
    <xf numFmtId="41" fontId="30" fillId="2" borderId="15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 quotePrefix="1">
      <alignment horizontal="left" wrapText="1"/>
    </xf>
    <xf numFmtId="0" fontId="32" fillId="0" borderId="0" xfId="0" applyFont="1" applyAlignment="1">
      <alignment wrapText="1"/>
    </xf>
    <xf numFmtId="10" fontId="32" fillId="0" borderId="0" xfId="34" applyNumberFormat="1" applyFont="1" applyAlignment="1">
      <alignment/>
    </xf>
    <xf numFmtId="177" fontId="32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/>
    </xf>
    <xf numFmtId="178" fontId="31" fillId="0" borderId="0" xfId="0" applyNumberFormat="1" applyFont="1" applyBorder="1" applyAlignment="1">
      <alignment horizontal="left" vertical="center"/>
    </xf>
    <xf numFmtId="0" fontId="31" fillId="3" borderId="15" xfId="0" applyFont="1" applyFill="1" applyBorder="1" applyAlignment="1" quotePrefix="1">
      <alignment horizontal="left"/>
    </xf>
    <xf numFmtId="178" fontId="31" fillId="3" borderId="15" xfId="0" applyNumberFormat="1" applyFont="1" applyFill="1" applyBorder="1" applyAlignment="1">
      <alignment horizontal="left" vertical="center"/>
    </xf>
    <xf numFmtId="178" fontId="32" fillId="0" borderId="0" xfId="0" applyNumberFormat="1" applyFont="1" applyBorder="1" applyAlignment="1">
      <alignment horizontal="left" vertical="center"/>
    </xf>
    <xf numFmtId="41" fontId="31" fillId="0" borderId="0" xfId="0" applyNumberFormat="1" applyFont="1" applyAlignment="1">
      <alignment/>
    </xf>
    <xf numFmtId="0" fontId="31" fillId="0" borderId="0" xfId="0" applyFont="1" applyBorder="1" applyAlignment="1" quotePrefix="1">
      <alignment horizontal="left" vertical="center" wrapText="1"/>
    </xf>
    <xf numFmtId="0" fontId="32" fillId="0" borderId="0" xfId="0" applyFont="1" applyAlignment="1" quotePrefix="1">
      <alignment horizontal="left"/>
    </xf>
    <xf numFmtId="43" fontId="31" fillId="0" borderId="0" xfId="0" applyNumberFormat="1" applyFont="1" applyBorder="1" applyAlignment="1">
      <alignment horizontal="left" vertical="center"/>
    </xf>
    <xf numFmtId="0" fontId="31" fillId="3" borderId="15" xfId="0" applyFont="1" applyFill="1" applyBorder="1" applyAlignment="1" quotePrefix="1">
      <alignment horizontal="right"/>
    </xf>
    <xf numFmtId="43" fontId="32" fillId="3" borderId="15" xfId="0" applyNumberFormat="1" applyFont="1" applyFill="1" applyBorder="1" applyAlignment="1">
      <alignment/>
    </xf>
    <xf numFmtId="0" fontId="30" fillId="0" borderId="0" xfId="0" applyFont="1" applyAlignment="1" quotePrefix="1">
      <alignment/>
    </xf>
    <xf numFmtId="0" fontId="30" fillId="0" borderId="0" xfId="0" applyFont="1" applyAlignment="1" quotePrefix="1">
      <alignment wrapText="1"/>
    </xf>
    <xf numFmtId="43" fontId="31" fillId="0" borderId="0" xfId="0" applyNumberFormat="1" applyFont="1" applyAlignment="1">
      <alignment/>
    </xf>
    <xf numFmtId="0" fontId="33" fillId="0" borderId="0" xfId="0" applyFont="1" applyAlignment="1" quotePrefix="1">
      <alignment horizontal="left" wrapText="1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 quotePrefix="1">
      <alignment horizontal="center" vertical="center"/>
    </xf>
    <xf numFmtId="0" fontId="30" fillId="0" borderId="0" xfId="0" applyFont="1" applyAlignment="1" quotePrefix="1">
      <alignment horizontal="left" wrapText="1"/>
    </xf>
    <xf numFmtId="0" fontId="32" fillId="0" borderId="15" xfId="0" applyFont="1" applyBorder="1" applyAlignment="1" quotePrefix="1">
      <alignment horizontal="left" wrapText="1"/>
    </xf>
    <xf numFmtId="10" fontId="32" fillId="0" borderId="15" xfId="34" applyNumberFormat="1" applyFont="1" applyBorder="1" applyAlignment="1">
      <alignment horizontal="center" vertical="center"/>
    </xf>
    <xf numFmtId="0" fontId="32" fillId="0" borderId="15" xfId="0" applyFont="1" applyBorder="1" applyAlignment="1">
      <alignment/>
    </xf>
    <xf numFmtId="10" fontId="32" fillId="0" borderId="15" xfId="34" applyNumberFormat="1" applyFont="1" applyBorder="1" applyAlignment="1">
      <alignment horizontal="center"/>
    </xf>
    <xf numFmtId="196" fontId="32" fillId="0" borderId="0" xfId="0" applyNumberFormat="1" applyFont="1" applyAlignment="1">
      <alignment/>
    </xf>
    <xf numFmtId="43" fontId="31" fillId="0" borderId="0" xfId="30" applyFont="1" applyAlignment="1">
      <alignment/>
    </xf>
    <xf numFmtId="0" fontId="4" fillId="0" borderId="15" xfId="0" applyFont="1" applyBorder="1" applyAlignment="1">
      <alignment/>
    </xf>
    <xf numFmtId="43" fontId="4" fillId="0" borderId="15" xfId="30" applyFont="1" applyBorder="1" applyAlignment="1">
      <alignment/>
    </xf>
    <xf numFmtId="0" fontId="28" fillId="0" borderId="0" xfId="0" applyFont="1" applyAlignment="1" quotePrefix="1">
      <alignment horizontal="left" wrapText="1"/>
    </xf>
    <xf numFmtId="43" fontId="32" fillId="0" borderId="0" xfId="0" applyNumberFormat="1" applyFont="1" applyAlignment="1">
      <alignment/>
    </xf>
    <xf numFmtId="4" fontId="16" fillId="0" borderId="10" xfId="19" applyNumberFormat="1" applyFont="1" applyBorder="1" applyAlignment="1" quotePrefix="1">
      <alignment horizontal="center" vertical="center" wrapText="1"/>
      <protection/>
    </xf>
    <xf numFmtId="4" fontId="16" fillId="0" borderId="9" xfId="19" applyNumberFormat="1" applyFont="1" applyBorder="1" applyAlignment="1">
      <alignment horizontal="distributed" vertical="center"/>
      <protection/>
    </xf>
    <xf numFmtId="4" fontId="16" fillId="0" borderId="9" xfId="19" applyNumberFormat="1" applyFont="1" applyBorder="1" applyAlignment="1" quotePrefix="1">
      <alignment horizontal="center" vertical="center" wrapText="1"/>
      <protection/>
    </xf>
    <xf numFmtId="4" fontId="12" fillId="0" borderId="7" xfId="19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vertical="center"/>
      <protection/>
    </xf>
    <xf numFmtId="0" fontId="36" fillId="0" borderId="26" xfId="19" applyFont="1" applyBorder="1" applyAlignment="1">
      <alignment horizontal="left" vertical="center"/>
      <protection/>
    </xf>
    <xf numFmtId="0" fontId="12" fillId="0" borderId="27" xfId="19" applyFont="1" applyBorder="1">
      <alignment/>
      <protection/>
    </xf>
    <xf numFmtId="0" fontId="12" fillId="0" borderId="0" xfId="19" applyFont="1" applyBorder="1">
      <alignment/>
      <protection/>
    </xf>
    <xf numFmtId="0" fontId="12" fillId="0" borderId="27" xfId="19" applyFont="1" applyBorder="1" applyAlignment="1" quotePrefix="1">
      <alignment horizontal="left" vertical="center"/>
      <protection/>
    </xf>
    <xf numFmtId="0" fontId="4" fillId="0" borderId="27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28" xfId="19" applyFont="1" applyBorder="1">
      <alignment/>
      <protection/>
    </xf>
    <xf numFmtId="4" fontId="4" fillId="0" borderId="0" xfId="19" applyNumberFormat="1" applyFont="1" applyBorder="1">
      <alignment/>
      <protection/>
    </xf>
    <xf numFmtId="4" fontId="4" fillId="0" borderId="0" xfId="19" applyNumberFormat="1" applyFont="1" applyBorder="1" applyAlignment="1" quotePrefix="1">
      <alignment horizontal="center"/>
      <protection/>
    </xf>
    <xf numFmtId="0" fontId="0" fillId="0" borderId="29" xfId="19" applyFont="1" applyBorder="1" applyAlignment="1">
      <alignment horizontal="right"/>
      <protection/>
    </xf>
    <xf numFmtId="4" fontId="4" fillId="0" borderId="30" xfId="19" applyNumberFormat="1" applyFont="1" applyBorder="1">
      <alignment/>
      <protection/>
    </xf>
    <xf numFmtId="4" fontId="37" fillId="0" borderId="0" xfId="19" applyNumberFormat="1" applyFont="1" applyBorder="1">
      <alignment/>
      <protection/>
    </xf>
    <xf numFmtId="4" fontId="4" fillId="0" borderId="31" xfId="19" applyNumberFormat="1" applyFont="1" applyBorder="1">
      <alignment/>
      <protection/>
    </xf>
    <xf numFmtId="0" fontId="4" fillId="0" borderId="31" xfId="19" applyFont="1" applyBorder="1">
      <alignment/>
      <protection/>
    </xf>
    <xf numFmtId="194" fontId="4" fillId="0" borderId="0" xfId="19" applyNumberFormat="1" applyFont="1" applyBorder="1">
      <alignment/>
      <protection/>
    </xf>
    <xf numFmtId="187" fontId="4" fillId="0" borderId="31" xfId="19" applyNumberFormat="1" applyFont="1" applyBorder="1">
      <alignment/>
      <protection/>
    </xf>
    <xf numFmtId="0" fontId="0" fillId="0" borderId="0" xfId="19" applyFont="1" applyBorder="1">
      <alignment/>
      <protection/>
    </xf>
    <xf numFmtId="4" fontId="34" fillId="0" borderId="0" xfId="19" applyNumberFormat="1" applyFont="1" applyBorder="1">
      <alignment/>
      <protection/>
    </xf>
    <xf numFmtId="187" fontId="4" fillId="0" borderId="0" xfId="19" applyNumberFormat="1" applyFont="1" applyBorder="1">
      <alignment/>
      <protection/>
    </xf>
    <xf numFmtId="0" fontId="4" fillId="0" borderId="32" xfId="19" applyFont="1" applyBorder="1">
      <alignment/>
      <protection/>
    </xf>
    <xf numFmtId="0" fontId="4" fillId="0" borderId="33" xfId="19" applyFont="1" applyBorder="1">
      <alignment/>
      <protection/>
    </xf>
    <xf numFmtId="4" fontId="4" fillId="0" borderId="32" xfId="19" applyNumberFormat="1" applyFont="1" applyBorder="1">
      <alignment/>
      <protection/>
    </xf>
    <xf numFmtId="4" fontId="4" fillId="0" borderId="32" xfId="19" applyNumberFormat="1" applyFont="1" applyBorder="1" applyAlignment="1" quotePrefix="1">
      <alignment horizontal="center"/>
      <protection/>
    </xf>
    <xf numFmtId="4" fontId="34" fillId="0" borderId="34" xfId="19" applyNumberFormat="1" applyFont="1" applyBorder="1">
      <alignment/>
      <protection/>
    </xf>
    <xf numFmtId="176" fontId="4" fillId="0" borderId="33" xfId="19" applyNumberFormat="1" applyFont="1" applyBorder="1">
      <alignment/>
      <protection/>
    </xf>
    <xf numFmtId="195" fontId="23" fillId="0" borderId="32" xfId="19" applyNumberFormat="1" applyFont="1" applyBorder="1">
      <alignment/>
      <protection/>
    </xf>
    <xf numFmtId="0" fontId="4" fillId="0" borderId="35" xfId="19" applyFont="1" applyBorder="1">
      <alignment/>
      <protection/>
    </xf>
    <xf numFmtId="0" fontId="4" fillId="0" borderId="36" xfId="19" applyFont="1" applyBorder="1">
      <alignment/>
      <protection/>
    </xf>
    <xf numFmtId="4" fontId="12" fillId="0" borderId="37" xfId="19" applyNumberFormat="1" applyFont="1" applyBorder="1" applyAlignment="1">
      <alignment horizontal="center" vertical="center"/>
      <protection/>
    </xf>
    <xf numFmtId="4" fontId="12" fillId="0" borderId="37" xfId="19" applyNumberFormat="1" applyFont="1" applyBorder="1" applyAlignment="1">
      <alignment horizontal="left" vertical="center"/>
      <protection/>
    </xf>
    <xf numFmtId="4" fontId="12" fillId="0" borderId="38" xfId="19" applyNumberFormat="1" applyFont="1" applyBorder="1" applyAlignment="1">
      <alignment horizontal="left" vertical="center"/>
      <protection/>
    </xf>
    <xf numFmtId="0" fontId="12" fillId="0" borderId="37" xfId="19" applyFont="1" applyBorder="1" applyAlignment="1">
      <alignment horizontal="left" vertical="center"/>
      <protection/>
    </xf>
    <xf numFmtId="4" fontId="36" fillId="0" borderId="39" xfId="19" applyNumberFormat="1" applyFont="1" applyBorder="1" applyAlignment="1">
      <alignment horizontal="left" vertical="center"/>
      <protection/>
    </xf>
    <xf numFmtId="4" fontId="36" fillId="0" borderId="40" xfId="19" applyNumberFormat="1" applyFont="1" applyBorder="1" applyAlignment="1">
      <alignment horizontal="left" vertical="center"/>
      <protection/>
    </xf>
    <xf numFmtId="0" fontId="12" fillId="0" borderId="39" xfId="19" applyFont="1" applyBorder="1" applyAlignment="1">
      <alignment horizontal="center" vertical="center"/>
      <protection/>
    </xf>
    <xf numFmtId="0" fontId="12" fillId="0" borderId="41" xfId="19" applyFont="1" applyBorder="1" applyAlignment="1">
      <alignment horizontal="left" vertical="center"/>
      <protection/>
    </xf>
    <xf numFmtId="0" fontId="12" fillId="0" borderId="0" xfId="19" applyFont="1" applyBorder="1" applyAlignment="1">
      <alignment horizontal="left" vertical="center"/>
      <protection/>
    </xf>
    <xf numFmtId="0" fontId="12" fillId="0" borderId="32" xfId="19" applyFont="1" applyBorder="1">
      <alignment/>
      <protection/>
    </xf>
    <xf numFmtId="4" fontId="12" fillId="0" borderId="32" xfId="19" applyNumberFormat="1" applyFont="1" applyBorder="1">
      <alignment/>
      <protection/>
    </xf>
    <xf numFmtId="0" fontId="12" fillId="0" borderId="35" xfId="19" applyFont="1" applyBorder="1">
      <alignment/>
      <protection/>
    </xf>
    <xf numFmtId="4" fontId="12" fillId="0" borderId="32" xfId="19" applyNumberFormat="1" applyFont="1" applyBorder="1" applyAlignment="1">
      <alignment horizontal="center"/>
      <protection/>
    </xf>
    <xf numFmtId="4" fontId="17" fillId="0" borderId="42" xfId="20" applyNumberFormat="1" applyFont="1" applyBorder="1" applyAlignment="1">
      <alignment horizontal="center" vertical="center"/>
      <protection/>
    </xf>
    <xf numFmtId="4" fontId="17" fillId="0" borderId="18" xfId="20" applyNumberFormat="1" applyFont="1" applyBorder="1" applyAlignment="1">
      <alignment horizontal="center" vertical="center"/>
      <protection/>
    </xf>
    <xf numFmtId="4" fontId="13" fillId="0" borderId="14" xfId="19" applyNumberFormat="1" applyFont="1" applyBorder="1" applyAlignment="1" quotePrefix="1">
      <alignment horizontal="distributed" vertical="distributed"/>
      <protection/>
    </xf>
    <xf numFmtId="4" fontId="13" fillId="0" borderId="14" xfId="19" applyNumberFormat="1" applyFont="1" applyBorder="1" applyAlignment="1" quotePrefix="1">
      <alignment horizontal="distributed" vertical="center"/>
      <protection/>
    </xf>
    <xf numFmtId="0" fontId="12" fillId="0" borderId="5" xfId="23" applyFont="1" applyBorder="1" applyAlignment="1">
      <alignment vertical="center"/>
    </xf>
    <xf numFmtId="0" fontId="12" fillId="0" borderId="5" xfId="23" applyFont="1" applyBorder="1" applyAlignment="1" quotePrefix="1">
      <alignment horizontal="left" vertical="center"/>
    </xf>
    <xf numFmtId="4" fontId="4" fillId="0" borderId="0" xfId="19" applyNumberFormat="1" applyFont="1" applyAlignment="1">
      <alignment horizontal="centerContinuous" vertical="center"/>
      <protection/>
    </xf>
    <xf numFmtId="4" fontId="4" fillId="0" borderId="0" xfId="19" applyNumberFormat="1" applyFont="1" applyAlignment="1">
      <alignment vertical="center"/>
      <protection/>
    </xf>
    <xf numFmtId="4" fontId="5" fillId="0" borderId="10" xfId="19" applyNumberFormat="1" applyFont="1" applyBorder="1" applyAlignment="1">
      <alignment vertical="center"/>
      <protection/>
    </xf>
    <xf numFmtId="4" fontId="21" fillId="0" borderId="9" xfId="19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 wrapText="1"/>
    </xf>
    <xf numFmtId="9" fontId="5" fillId="0" borderId="10" xfId="19" applyNumberFormat="1" applyFont="1" applyBorder="1" applyAlignment="1">
      <alignment horizontal="center" vertical="center"/>
      <protection/>
    </xf>
    <xf numFmtId="4" fontId="5" fillId="0" borderId="10" xfId="19" applyNumberFormat="1" applyFont="1" applyBorder="1" applyAlignment="1">
      <alignment horizontal="center" vertical="center" wrapText="1"/>
      <protection/>
    </xf>
    <xf numFmtId="4" fontId="5" fillId="0" borderId="9" xfId="19" applyNumberFormat="1" applyFont="1" applyBorder="1" applyAlignment="1">
      <alignment horizontal="center" vertical="center"/>
      <protection/>
    </xf>
    <xf numFmtId="4" fontId="4" fillId="0" borderId="0" xfId="19" applyNumberFormat="1" applyFont="1" applyBorder="1" applyAlignment="1">
      <alignment vertical="center"/>
      <protection/>
    </xf>
    <xf numFmtId="4" fontId="5" fillId="0" borderId="0" xfId="19" applyNumberFormat="1" applyFont="1" applyBorder="1" applyAlignment="1">
      <alignment vertical="center"/>
      <protection/>
    </xf>
    <xf numFmtId="4" fontId="5" fillId="0" borderId="0" xfId="19" applyNumberFormat="1" applyFont="1" applyBorder="1" applyAlignment="1">
      <alignment horizontal="center" vertical="center"/>
      <protection/>
    </xf>
    <xf numFmtId="0" fontId="20" fillId="0" borderId="0" xfId="19" applyFont="1" applyBorder="1">
      <alignment/>
      <protection/>
    </xf>
    <xf numFmtId="4" fontId="12" fillId="4" borderId="0" xfId="20" applyNumberFormat="1" applyFont="1" applyFill="1" applyAlignment="1">
      <alignment vertical="center"/>
      <protection/>
    </xf>
    <xf numFmtId="4" fontId="16" fillId="0" borderId="16" xfId="20" applyNumberFormat="1" applyFont="1" applyBorder="1" applyAlignment="1" quotePrefix="1">
      <alignment horizontal="center" vertical="center"/>
      <protection/>
    </xf>
    <xf numFmtId="4" fontId="16" fillId="0" borderId="9" xfId="19" applyNumberFormat="1" applyFont="1" applyBorder="1" applyAlignment="1">
      <alignment vertical="center"/>
      <protection/>
    </xf>
    <xf numFmtId="3" fontId="13" fillId="0" borderId="15" xfId="20" applyNumberFormat="1" applyFont="1" applyBorder="1" applyAlignment="1">
      <alignment vertical="center"/>
      <protection/>
    </xf>
    <xf numFmtId="193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4" fontId="12" fillId="0" borderId="43" xfId="19" applyNumberFormat="1" applyFont="1" applyBorder="1" applyAlignment="1" quotePrefix="1">
      <alignment horizontal="left" vertical="center"/>
      <protection/>
    </xf>
    <xf numFmtId="3" fontId="5" fillId="0" borderId="10" xfId="19" applyNumberFormat="1" applyFont="1" applyBorder="1" applyAlignment="1">
      <alignment vertical="center"/>
      <protection/>
    </xf>
    <xf numFmtId="4" fontId="12" fillId="0" borderId="0" xfId="20" applyNumberFormat="1" applyFont="1" applyAlignment="1">
      <alignment horizontal="center" vertical="center"/>
      <protection/>
    </xf>
    <xf numFmtId="40" fontId="13" fillId="0" borderId="16" xfId="32" applyFont="1" applyBorder="1" applyAlignment="1" applyProtection="1">
      <alignment horizontal="center" vertical="center"/>
      <protection/>
    </xf>
    <xf numFmtId="40" fontId="13" fillId="0" borderId="15" xfId="32" applyFont="1" applyBorder="1" applyAlignment="1" applyProtection="1">
      <alignment horizontal="left" vertical="center"/>
      <protection/>
    </xf>
    <xf numFmtId="40" fontId="13" fillId="0" borderId="16" xfId="32" applyFont="1" applyBorder="1" applyAlignment="1" quotePrefix="1">
      <alignment horizontal="left" vertical="center"/>
    </xf>
    <xf numFmtId="40" fontId="13" fillId="0" borderId="44" xfId="32" applyFont="1" applyBorder="1" applyAlignment="1">
      <alignment horizontal="right" vertical="center"/>
    </xf>
    <xf numFmtId="40" fontId="13" fillId="0" borderId="25" xfId="32" applyFont="1" applyBorder="1" applyAlignment="1">
      <alignment horizontal="left" vertical="center"/>
    </xf>
    <xf numFmtId="0" fontId="12" fillId="0" borderId="0" xfId="23" applyFont="1" applyAlignment="1" applyProtection="1">
      <alignment vertical="center"/>
      <protection/>
    </xf>
    <xf numFmtId="4" fontId="21" fillId="0" borderId="10" xfId="19" applyNumberFormat="1" applyFont="1" applyBorder="1" applyAlignment="1" quotePrefix="1">
      <alignment horizontal="center" vertical="center"/>
      <protection/>
    </xf>
    <xf numFmtId="0" fontId="18" fillId="0" borderId="10" xfId="0" applyFont="1" applyBorder="1" applyAlignment="1">
      <alignment horizontal="center" vertical="top" wrapText="1"/>
    </xf>
    <xf numFmtId="4" fontId="12" fillId="0" borderId="10" xfId="19" applyNumberFormat="1" applyFont="1" applyBorder="1" applyAlignment="1">
      <alignment vertical="center"/>
      <protection/>
    </xf>
    <xf numFmtId="4" fontId="12" fillId="0" borderId="9" xfId="19" applyNumberFormat="1" applyFont="1" applyBorder="1" applyAlignment="1">
      <alignment vertical="center"/>
      <protection/>
    </xf>
    <xf numFmtId="4" fontId="12" fillId="0" borderId="14" xfId="19" applyNumberFormat="1" applyFont="1" applyBorder="1" applyAlignment="1">
      <alignment horizontal="distributed" vertical="center" wrapText="1"/>
      <protection/>
    </xf>
    <xf numFmtId="185" fontId="5" fillId="0" borderId="45" xfId="0" applyNumberFormat="1" applyFont="1" applyBorder="1" applyAlignment="1" applyProtection="1">
      <alignment horizontal="right" vertical="center"/>
      <protection/>
    </xf>
    <xf numFmtId="40" fontId="13" fillId="0" borderId="15" xfId="32" applyNumberFormat="1" applyFont="1" applyBorder="1" applyAlignment="1" applyProtection="1">
      <alignment horizontal="right" vertical="center"/>
      <protection/>
    </xf>
    <xf numFmtId="0" fontId="13" fillId="0" borderId="46" xfId="22" applyFont="1" applyBorder="1" applyAlignment="1">
      <alignment horizontal="centerContinuous" vertical="center"/>
    </xf>
    <xf numFmtId="0" fontId="13" fillId="0" borderId="15" xfId="22" applyFont="1" applyBorder="1" applyAlignment="1">
      <alignment horizontal="centerContinuous" vertical="center"/>
    </xf>
    <xf numFmtId="0" fontId="12" fillId="4" borderId="0" xfId="0" applyFont="1" applyFill="1" applyAlignment="1">
      <alignment/>
    </xf>
    <xf numFmtId="4" fontId="12" fillId="0" borderId="0" xfId="22" applyNumberFormat="1" applyFont="1" applyBorder="1" applyAlignment="1" applyProtection="1">
      <alignment vertical="center"/>
      <protection/>
    </xf>
    <xf numFmtId="0" fontId="13" fillId="4" borderId="15" xfId="0" applyFont="1" applyFill="1" applyBorder="1" applyAlignment="1">
      <alignment horizontal="center"/>
    </xf>
    <xf numFmtId="4" fontId="11" fillId="0" borderId="0" xfId="20" applyNumberFormat="1" applyFont="1" applyAlignment="1">
      <alignment horizontal="centerContinuous" vertical="center"/>
      <protection/>
    </xf>
    <xf numFmtId="0" fontId="25" fillId="0" borderId="0" xfId="23" applyFont="1" applyAlignment="1">
      <alignment horizontal="centerContinuous" vertical="top"/>
    </xf>
    <xf numFmtId="4" fontId="12" fillId="0" borderId="0" xfId="20" applyNumberFormat="1" applyFont="1" applyBorder="1" applyAlignment="1">
      <alignment vertical="center"/>
      <protection/>
    </xf>
    <xf numFmtId="4" fontId="13" fillId="0" borderId="0" xfId="19" applyNumberFormat="1" applyFont="1" applyBorder="1" applyAlignment="1">
      <alignment vertical="center"/>
      <protection/>
    </xf>
    <xf numFmtId="0" fontId="26" fillId="0" borderId="5" xfId="22" applyFont="1" applyBorder="1" applyAlignment="1">
      <alignment horizontal="center" vertical="center"/>
    </xf>
    <xf numFmtId="0" fontId="12" fillId="0" borderId="5" xfId="22" applyFont="1" applyBorder="1" applyAlignment="1">
      <alignment horizontal="center" vertical="center"/>
    </xf>
    <xf numFmtId="40" fontId="12" fillId="0" borderId="5" xfId="32" applyFont="1" applyBorder="1" applyAlignment="1">
      <alignment horizontal="center" vertical="center"/>
    </xf>
    <xf numFmtId="0" fontId="12" fillId="0" borderId="22" xfId="22" applyFont="1" applyBorder="1" applyAlignment="1" quotePrefix="1">
      <alignment horizontal="left" vertical="center"/>
    </xf>
    <xf numFmtId="40" fontId="13" fillId="0" borderId="15" xfId="32" applyFont="1" applyBorder="1" applyAlignment="1" applyProtection="1" quotePrefix="1">
      <alignment horizontal="right" vertical="center"/>
      <protection/>
    </xf>
    <xf numFmtId="191" fontId="13" fillId="0" borderId="15" xfId="20" applyNumberFormat="1" applyFont="1" applyBorder="1" applyAlignment="1">
      <alignment horizontal="right" vertical="center"/>
      <protection/>
    </xf>
    <xf numFmtId="4" fontId="16" fillId="0" borderId="15" xfId="20" applyNumberFormat="1" applyFont="1" applyBorder="1" applyAlignment="1" quotePrefix="1">
      <alignment horizontal="left" vertical="center" wrapText="1"/>
      <protection/>
    </xf>
    <xf numFmtId="0" fontId="16" fillId="4" borderId="15" xfId="20" applyFont="1" applyFill="1" applyBorder="1" applyAlignment="1" quotePrefix="1">
      <alignment horizontal="center" vertical="center" wrapText="1"/>
      <protection/>
    </xf>
    <xf numFmtId="0" fontId="33" fillId="0" borderId="0" xfId="19" applyFont="1" applyBorder="1">
      <alignment/>
      <protection/>
    </xf>
    <xf numFmtId="4" fontId="38" fillId="0" borderId="0" xfId="22" applyNumberFormat="1" applyFont="1" applyAlignment="1">
      <alignment horizontal="centerContinuous" vertical="center"/>
    </xf>
    <xf numFmtId="0" fontId="38" fillId="0" borderId="0" xfId="22" applyFont="1" applyAlignment="1">
      <alignment horizontal="centerContinuous" vertical="center"/>
    </xf>
    <xf numFmtId="4" fontId="39" fillId="0" borderId="15" xfId="0" applyNumberFormat="1" applyFont="1" applyBorder="1" applyAlignment="1">
      <alignment horizontal="center" vertical="center"/>
    </xf>
    <xf numFmtId="0" fontId="13" fillId="4" borderId="46" xfId="23" applyFont="1" applyFill="1" applyBorder="1" applyAlignment="1">
      <alignment horizontal="distributed" vertical="center"/>
    </xf>
    <xf numFmtId="191" fontId="39" fillId="0" borderId="15" xfId="0" applyNumberFormat="1" applyFont="1" applyBorder="1" applyAlignment="1">
      <alignment horizontal="right" vertical="center"/>
    </xf>
    <xf numFmtId="195" fontId="13" fillId="0" borderId="10" xfId="19" applyNumberFormat="1" applyFont="1" applyBorder="1" applyAlignment="1">
      <alignment vertical="center"/>
      <protection/>
    </xf>
    <xf numFmtId="195" fontId="13" fillId="0" borderId="10" xfId="19" applyNumberFormat="1" applyFont="1" applyBorder="1" applyAlignment="1" quotePrefix="1">
      <alignment horizontal="center" vertical="center"/>
      <protection/>
    </xf>
    <xf numFmtId="195" fontId="12" fillId="0" borderId="10" xfId="19" applyNumberFormat="1" applyFont="1" applyBorder="1" applyAlignment="1">
      <alignment vertical="center"/>
      <protection/>
    </xf>
    <xf numFmtId="195" fontId="13" fillId="0" borderId="10" xfId="19" applyNumberFormat="1" applyFont="1" applyBorder="1" applyAlignment="1">
      <alignment horizontal="center" vertical="center"/>
      <protection/>
    </xf>
    <xf numFmtId="4" fontId="10" fillId="4" borderId="0" xfId="19" applyNumberFormat="1" applyFont="1" applyFill="1" applyAlignment="1">
      <alignment horizontal="centerContinuous" vertical="center"/>
      <protection/>
    </xf>
    <xf numFmtId="4" fontId="12" fillId="4" borderId="0" xfId="19" applyNumberFormat="1" applyFont="1" applyFill="1" applyAlignment="1">
      <alignment horizontal="centerContinuous" vertical="center"/>
      <protection/>
    </xf>
    <xf numFmtId="4" fontId="12" fillId="4" borderId="0" xfId="19" applyNumberFormat="1" applyFont="1" applyFill="1" applyAlignment="1">
      <alignment vertical="center"/>
      <protection/>
    </xf>
    <xf numFmtId="4" fontId="11" fillId="4" borderId="0" xfId="19" applyNumberFormat="1" applyFont="1" applyFill="1" applyAlignment="1">
      <alignment horizontal="centerContinuous" vertical="center"/>
      <protection/>
    </xf>
    <xf numFmtId="4" fontId="13" fillId="4" borderId="0" xfId="19" applyNumberFormat="1" applyFont="1" applyFill="1" applyAlignment="1" quotePrefix="1">
      <alignment horizontal="left" vertical="center"/>
      <protection/>
    </xf>
    <xf numFmtId="0" fontId="12" fillId="4" borderId="0" xfId="22" applyFont="1" applyFill="1" applyAlignment="1" applyProtection="1">
      <alignment vertical="center"/>
      <protection/>
    </xf>
    <xf numFmtId="180" fontId="13" fillId="4" borderId="0" xfId="19" applyNumberFormat="1" applyFont="1" applyFill="1" applyAlignment="1">
      <alignment horizontal="distributed" vertical="center"/>
      <protection/>
    </xf>
    <xf numFmtId="4" fontId="13" fillId="0" borderId="15" xfId="19" applyNumberFormat="1" applyFont="1" applyBorder="1" applyAlignment="1" quotePrefix="1">
      <alignment horizontal="center" vertical="center"/>
      <protection/>
    </xf>
    <xf numFmtId="4" fontId="16" fillId="4" borderId="15" xfId="19" applyNumberFormat="1" applyFont="1" applyFill="1" applyBorder="1" applyAlignment="1" quotePrefix="1">
      <alignment horizontal="center" vertical="center"/>
      <protection/>
    </xf>
    <xf numFmtId="4" fontId="13" fillId="0" borderId="15" xfId="19" applyNumberFormat="1" applyFont="1" applyBorder="1" applyAlignment="1">
      <alignment horizontal="center" vertical="center"/>
      <protection/>
    </xf>
    <xf numFmtId="4" fontId="13" fillId="0" borderId="15" xfId="19" applyNumberFormat="1" applyFont="1" applyBorder="1" applyAlignment="1">
      <alignment vertical="center"/>
      <protection/>
    </xf>
    <xf numFmtId="4" fontId="16" fillId="0" borderId="15" xfId="19" applyNumberFormat="1" applyFont="1" applyBorder="1" applyAlignment="1">
      <alignment horizontal="center" vertical="center"/>
      <protection/>
    </xf>
    <xf numFmtId="4" fontId="16" fillId="0" borderId="15" xfId="19" applyNumberFormat="1" applyFont="1" applyBorder="1" applyAlignment="1" quotePrefix="1">
      <alignment horizontal="center" vertical="center"/>
      <protection/>
    </xf>
    <xf numFmtId="4" fontId="16" fillId="0" borderId="15" xfId="19" applyNumberFormat="1" applyFont="1" applyBorder="1" applyAlignment="1">
      <alignment horizontal="center" vertical="center" wrapText="1"/>
      <protection/>
    </xf>
    <xf numFmtId="4" fontId="12" fillId="4" borderId="0" xfId="19" applyNumberFormat="1" applyFont="1" applyFill="1">
      <alignment/>
      <protection/>
    </xf>
    <xf numFmtId="4" fontId="12" fillId="0" borderId="42" xfId="19" applyNumberFormat="1" applyFont="1" applyBorder="1" applyAlignment="1">
      <alignment horizontal="distributed" vertical="center"/>
      <protection/>
    </xf>
    <xf numFmtId="4" fontId="12" fillId="0" borderId="18" xfId="19" applyNumberFormat="1" applyFont="1" applyBorder="1" applyAlignment="1">
      <alignment horizontal="distributed" vertical="center"/>
      <protection/>
    </xf>
    <xf numFmtId="4" fontId="12" fillId="0" borderId="24" xfId="19" applyNumberFormat="1" applyFont="1" applyBorder="1" applyAlignment="1">
      <alignment horizontal="distributed" vertical="center"/>
      <protection/>
    </xf>
    <xf numFmtId="4" fontId="13" fillId="0" borderId="46" xfId="19" applyNumberFormat="1" applyFont="1" applyBorder="1" applyAlignment="1" quotePrefix="1">
      <alignment horizontal="distributed" vertical="center"/>
      <protection/>
    </xf>
    <xf numFmtId="4" fontId="16" fillId="0" borderId="16" xfId="19" applyNumberFormat="1" applyFont="1" applyBorder="1" applyAlignment="1">
      <alignment horizontal="distributed" vertical="center"/>
      <protection/>
    </xf>
    <xf numFmtId="4" fontId="16" fillId="0" borderId="16" xfId="19" applyNumberFormat="1" applyFont="1" applyBorder="1" applyAlignment="1">
      <alignment vertical="center"/>
      <protection/>
    </xf>
    <xf numFmtId="4" fontId="13" fillId="0" borderId="46" xfId="19" applyNumberFormat="1" applyFont="1" applyBorder="1" applyAlignment="1">
      <alignment horizontal="distributed" vertical="center"/>
      <protection/>
    </xf>
    <xf numFmtId="4" fontId="13" fillId="0" borderId="46" xfId="19" applyNumberFormat="1" applyFont="1" applyBorder="1" applyAlignment="1">
      <alignment horizontal="center" vertical="center"/>
      <protection/>
    </xf>
    <xf numFmtId="0" fontId="12" fillId="4" borderId="0" xfId="22" applyFont="1" applyFill="1" applyAlignment="1" applyProtection="1" quotePrefix="1">
      <alignment horizontal="left" vertical="center"/>
      <protection/>
    </xf>
    <xf numFmtId="0" fontId="12" fillId="4" borderId="0" xfId="22" applyFont="1" applyFill="1" applyBorder="1" applyAlignment="1" applyProtection="1" quotePrefix="1">
      <alignment horizontal="left" vertical="center"/>
      <protection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3" fillId="0" borderId="15" xfId="18" applyFont="1" applyBorder="1" applyAlignment="1" applyProtection="1">
      <alignment horizontal="center" vertical="center"/>
      <protection/>
    </xf>
    <xf numFmtId="0" fontId="13" fillId="0" borderId="18" xfId="23" applyFont="1" applyBorder="1" applyAlignment="1">
      <alignment horizontal="centerContinuous" vertical="center"/>
    </xf>
    <xf numFmtId="0" fontId="15" fillId="0" borderId="17" xfId="18" applyFont="1" applyBorder="1" applyAlignment="1" applyProtection="1">
      <alignment horizontal="centerContinuous"/>
      <protection/>
    </xf>
    <xf numFmtId="4" fontId="46" fillId="0" borderId="15" xfId="0" applyNumberFormat="1" applyFont="1" applyBorder="1" applyAlignment="1">
      <alignment horizontal="center" vertical="center"/>
    </xf>
    <xf numFmtId="0" fontId="13" fillId="0" borderId="24" xfId="18" applyFont="1" applyBorder="1" applyAlignment="1" applyProtection="1" quotePrefix="1">
      <alignment horizontal="center" vertical="center"/>
      <protection/>
    </xf>
    <xf numFmtId="4" fontId="16" fillId="0" borderId="15" xfId="0" applyNumberFormat="1" applyFont="1" applyBorder="1" applyAlignment="1" quotePrefix="1">
      <alignment horizontal="center" vertical="center" wrapText="1"/>
    </xf>
    <xf numFmtId="191" fontId="13" fillId="0" borderId="15" xfId="20" applyNumberFormat="1" applyFont="1" applyBorder="1" applyAlignment="1" quotePrefix="1">
      <alignment horizontal="center" vertical="center"/>
      <protection/>
    </xf>
    <xf numFmtId="191" fontId="13" fillId="4" borderId="15" xfId="20" applyNumberFormat="1" applyFont="1" applyFill="1" applyBorder="1" applyAlignment="1">
      <alignment horizontal="right" vertical="center"/>
      <protection/>
    </xf>
    <xf numFmtId="4" fontId="13" fillId="0" borderId="15" xfId="0" applyNumberFormat="1" applyFont="1" applyBorder="1" applyAlignment="1">
      <alignment horizontal="center" vertical="center"/>
    </xf>
    <xf numFmtId="191" fontId="13" fillId="0" borderId="15" xfId="0" applyNumberFormat="1" applyFont="1" applyBorder="1" applyAlignment="1">
      <alignment horizontal="right" vertical="center"/>
    </xf>
    <xf numFmtId="4" fontId="16" fillId="0" borderId="9" xfId="19" applyNumberFormat="1" applyFont="1" applyBorder="1" applyAlignment="1" quotePrefix="1">
      <alignment horizontal="center" vertical="center"/>
      <protection/>
    </xf>
    <xf numFmtId="4" fontId="16" fillId="0" borderId="10" xfId="19" applyNumberFormat="1" applyFont="1" applyBorder="1" applyAlignment="1" quotePrefix="1">
      <alignment horizontal="left" vertical="center" wrapText="1"/>
      <protection/>
    </xf>
    <xf numFmtId="4" fontId="13" fillId="0" borderId="47" xfId="19" applyNumberFormat="1" applyFont="1" applyBorder="1" applyAlignment="1" quotePrefix="1">
      <alignment horizontal="distributed" vertical="center"/>
      <protection/>
    </xf>
    <xf numFmtId="4" fontId="5" fillId="0" borderId="48" xfId="19" applyNumberFormat="1" applyFont="1" applyBorder="1" applyAlignment="1">
      <alignment horizontal="center" vertical="center"/>
      <protection/>
    </xf>
    <xf numFmtId="4" fontId="13" fillId="0" borderId="47" xfId="19" applyNumberFormat="1" applyFont="1" applyBorder="1" applyAlignment="1">
      <alignment horizontal="distributed" vertical="center"/>
      <protection/>
    </xf>
    <xf numFmtId="4" fontId="13" fillId="0" borderId="49" xfId="19" applyNumberFormat="1" applyFont="1" applyBorder="1" applyAlignment="1">
      <alignment horizontal="center" vertical="center"/>
      <protection/>
    </xf>
    <xf numFmtId="3" fontId="5" fillId="0" borderId="50" xfId="19" applyNumberFormat="1" applyFont="1" applyBorder="1" applyAlignment="1">
      <alignment vertical="center"/>
      <protection/>
    </xf>
    <xf numFmtId="4" fontId="5" fillId="0" borderId="51" xfId="19" applyNumberFormat="1" applyFont="1" applyBorder="1" applyAlignment="1">
      <alignment horizontal="center" vertical="center"/>
      <protection/>
    </xf>
    <xf numFmtId="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Continuous" vertical="center"/>
    </xf>
    <xf numFmtId="4" fontId="40" fillId="0" borderId="15" xfId="0" applyNumberFormat="1" applyFont="1" applyBorder="1" applyAlignment="1" quotePrefix="1">
      <alignment horizontal="left" vertical="center"/>
    </xf>
    <xf numFmtId="4" fontId="17" fillId="0" borderId="42" xfId="20" applyNumberFormat="1" applyFont="1" applyBorder="1" applyAlignment="1">
      <alignment horizontal="distributed" vertical="center"/>
      <protection/>
    </xf>
    <xf numFmtId="4" fontId="17" fillId="0" borderId="18" xfId="20" applyNumberFormat="1" applyFont="1" applyBorder="1" applyAlignment="1">
      <alignment horizontal="distributed" vertical="center"/>
      <protection/>
    </xf>
    <xf numFmtId="4" fontId="17" fillId="0" borderId="24" xfId="20" applyNumberFormat="1" applyFont="1" applyBorder="1" applyAlignment="1">
      <alignment horizontal="distributed" vertical="center"/>
      <protection/>
    </xf>
    <xf numFmtId="0" fontId="13" fillId="0" borderId="46" xfId="20" applyFont="1" applyBorder="1" applyAlignment="1">
      <alignment horizontal="distributed" vertical="center"/>
      <protection/>
    </xf>
    <xf numFmtId="0" fontId="13" fillId="0" borderId="46" xfId="20" applyFont="1" applyBorder="1" applyAlignment="1" quotePrefix="1">
      <alignment horizontal="distributed" vertical="center"/>
      <protection/>
    </xf>
    <xf numFmtId="4" fontId="43" fillId="0" borderId="15" xfId="0" applyNumberFormat="1" applyFont="1" applyBorder="1" applyAlignment="1" quotePrefix="1">
      <alignment horizontal="center" vertical="center" wrapText="1"/>
    </xf>
    <xf numFmtId="4" fontId="12" fillId="0" borderId="52" xfId="20" applyNumberFormat="1" applyFont="1" applyBorder="1" applyAlignment="1">
      <alignment vertical="center"/>
      <protection/>
    </xf>
    <xf numFmtId="4" fontId="12" fillId="0" borderId="44" xfId="20" applyNumberFormat="1" applyFont="1" applyBorder="1" applyAlignment="1">
      <alignment vertical="center"/>
      <protection/>
    </xf>
    <xf numFmtId="3" fontId="5" fillId="0" borderId="15" xfId="19" applyNumberFormat="1" applyFont="1" applyBorder="1" applyAlignment="1">
      <alignment vertical="center"/>
      <protection/>
    </xf>
    <xf numFmtId="3" fontId="13" fillId="0" borderId="15" xfId="19" applyNumberFormat="1" applyFont="1" applyBorder="1" applyAlignment="1" quotePrefix="1">
      <alignment horizontal="right" vertical="center"/>
      <protection/>
    </xf>
    <xf numFmtId="3" fontId="13" fillId="0" borderId="15" xfId="19" applyNumberFormat="1" applyFont="1" applyBorder="1" applyAlignment="1">
      <alignment horizontal="right" vertical="center"/>
      <protection/>
    </xf>
    <xf numFmtId="3" fontId="13" fillId="0" borderId="15" xfId="19" applyNumberFormat="1" applyFont="1" applyBorder="1" applyAlignment="1">
      <alignment vertical="center"/>
      <protection/>
    </xf>
    <xf numFmtId="185" fontId="12" fillId="4" borderId="0" xfId="22" applyNumberFormat="1" applyFont="1" applyFill="1" applyAlignment="1" applyProtection="1" quotePrefix="1">
      <alignment horizontal="center" vertical="center"/>
      <protection/>
    </xf>
    <xf numFmtId="185" fontId="12" fillId="4" borderId="0" xfId="0" applyNumberFormat="1" applyFont="1" applyFill="1" applyBorder="1" applyAlignment="1" quotePrefix="1">
      <alignment horizontal="center" vertical="center"/>
    </xf>
    <xf numFmtId="185" fontId="12" fillId="4" borderId="0" xfId="0" applyNumberFormat="1" applyFont="1" applyFill="1" applyAlignment="1">
      <alignment horizontal="center" vertical="center"/>
    </xf>
    <xf numFmtId="0" fontId="15" fillId="4" borderId="15" xfId="0" applyNumberFormat="1" applyFont="1" applyFill="1" applyBorder="1" applyAlignment="1" applyProtection="1" quotePrefix="1">
      <alignment horizontal="center" vertical="center"/>
      <protection/>
    </xf>
    <xf numFmtId="0" fontId="12" fillId="4" borderId="24" xfId="0" applyFont="1" applyFill="1" applyBorder="1" applyAlignment="1" applyProtection="1">
      <alignment horizontal="center" vertical="center"/>
      <protection/>
    </xf>
    <xf numFmtId="0" fontId="13" fillId="4" borderId="16" xfId="0" applyFont="1" applyFill="1" applyBorder="1" applyAlignment="1" applyProtection="1">
      <alignment vertical="top"/>
      <protection/>
    </xf>
    <xf numFmtId="0" fontId="13" fillId="4" borderId="16" xfId="0" applyFont="1" applyFill="1" applyBorder="1" applyAlignment="1" applyProtection="1" quotePrefix="1">
      <alignment vertical="top"/>
      <protection/>
    </xf>
    <xf numFmtId="0" fontId="13" fillId="4" borderId="16" xfId="0" applyFont="1" applyFill="1" applyBorder="1" applyAlignment="1" applyProtection="1">
      <alignment horizontal="center" vertical="center"/>
      <protection/>
    </xf>
    <xf numFmtId="0" fontId="13" fillId="4" borderId="16" xfId="0" applyFont="1" applyFill="1" applyBorder="1" applyAlignment="1">
      <alignment vertical="center"/>
    </xf>
    <xf numFmtId="185" fontId="40" fillId="4" borderId="15" xfId="0" applyNumberFormat="1" applyFont="1" applyFill="1" applyBorder="1" applyAlignment="1" quotePrefix="1">
      <alignment horizontal="right" vertical="center"/>
    </xf>
    <xf numFmtId="4" fontId="40" fillId="4" borderId="46" xfId="0" applyNumberFormat="1" applyFont="1" applyFill="1" applyBorder="1" applyAlignment="1" quotePrefix="1">
      <alignment horizontal="left" vertical="center"/>
    </xf>
    <xf numFmtId="0" fontId="16" fillId="0" borderId="15" xfId="0" applyFont="1" applyBorder="1" applyAlignment="1" applyProtection="1" quotePrefix="1">
      <alignment horizontal="right" vertical="center"/>
      <protection/>
    </xf>
    <xf numFmtId="0" fontId="16" fillId="4" borderId="15" xfId="0" applyFont="1" applyFill="1" applyBorder="1" applyAlignment="1" applyProtection="1" quotePrefix="1">
      <alignment horizontal="right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201" fontId="16" fillId="4" borderId="15" xfId="0" applyNumberFormat="1" applyFont="1" applyFill="1" applyBorder="1" applyAlignment="1" applyProtection="1" quotePrefix="1">
      <alignment horizontal="center" vertical="top"/>
      <protection/>
    </xf>
    <xf numFmtId="201" fontId="16" fillId="4" borderId="15" xfId="0" applyNumberFormat="1" applyFont="1" applyFill="1" applyBorder="1" applyAlignment="1" applyProtection="1">
      <alignment horizontal="center" vertical="top"/>
      <protection/>
    </xf>
    <xf numFmtId="0" fontId="13" fillId="0" borderId="15" xfId="18" applyFont="1" applyBorder="1" applyAlignment="1">
      <alignment horizontal="center" vertical="center"/>
    </xf>
    <xf numFmtId="0" fontId="13" fillId="0" borderId="15" xfId="18" applyFont="1" applyBorder="1" applyAlignment="1" applyProtection="1" quotePrefix="1">
      <alignment horizontal="center" vertical="distributed"/>
      <protection/>
    </xf>
    <xf numFmtId="0" fontId="13" fillId="0" borderId="22" xfId="22" applyFont="1" applyBorder="1" applyAlignment="1">
      <alignment vertical="center"/>
    </xf>
    <xf numFmtId="0" fontId="13" fillId="0" borderId="22" xfId="15" applyFont="1" applyBorder="1">
      <alignment horizontal="left" vertical="center"/>
      <protection/>
    </xf>
    <xf numFmtId="0" fontId="13" fillId="0" borderId="15" xfId="18" applyFont="1" applyBorder="1" applyAlignment="1" applyProtection="1">
      <alignment horizontal="center" vertical="center" wrapText="1"/>
      <protection/>
    </xf>
    <xf numFmtId="40" fontId="13" fillId="0" borderId="15" xfId="32" applyFont="1" applyBorder="1" applyProtection="1">
      <alignment horizontal="right" vertical="center"/>
      <protection/>
    </xf>
    <xf numFmtId="40" fontId="13" fillId="0" borderId="15" xfId="32" applyFont="1" applyBorder="1" applyProtection="1" quotePrefix="1">
      <alignment horizontal="right" vertical="center"/>
      <protection/>
    </xf>
    <xf numFmtId="40" fontId="13" fillId="0" borderId="15" xfId="32" applyFont="1" applyBorder="1" applyAlignment="1" applyProtection="1" quotePrefix="1">
      <alignment horizontal="center" vertical="center"/>
      <protection/>
    </xf>
    <xf numFmtId="0" fontId="13" fillId="0" borderId="5" xfId="22" applyFont="1" applyBorder="1" applyAlignment="1">
      <alignment vertical="center"/>
    </xf>
    <xf numFmtId="0" fontId="13" fillId="0" borderId="16" xfId="18" applyFont="1" applyBorder="1" applyProtection="1">
      <alignment horizontal="left" vertical="center"/>
      <protection/>
    </xf>
    <xf numFmtId="0" fontId="13" fillId="0" borderId="15" xfId="22" applyFont="1" applyBorder="1" applyAlignment="1">
      <alignment vertical="center"/>
    </xf>
    <xf numFmtId="40" fontId="13" fillId="0" borderId="15" xfId="32" applyFont="1" applyBorder="1" applyAlignment="1">
      <alignment vertical="center"/>
    </xf>
    <xf numFmtId="0" fontId="13" fillId="0" borderId="53" xfId="22" applyFont="1" applyBorder="1" applyAlignment="1">
      <alignment vertical="center"/>
    </xf>
    <xf numFmtId="0" fontId="13" fillId="0" borderId="23" xfId="22" applyFont="1" applyBorder="1" applyAlignment="1">
      <alignment vertical="center"/>
    </xf>
    <xf numFmtId="40" fontId="14" fillId="0" borderId="23" xfId="32" applyFont="1" applyBorder="1" applyAlignment="1">
      <alignment horizontal="right" vertical="center"/>
    </xf>
    <xf numFmtId="40" fontId="13" fillId="0" borderId="25" xfId="32" applyFont="1" applyBorder="1" applyAlignment="1">
      <alignment vertical="center"/>
    </xf>
    <xf numFmtId="0" fontId="13" fillId="0" borderId="42" xfId="22" applyFont="1" applyBorder="1" applyAlignment="1">
      <alignment horizontal="center" vertical="center"/>
    </xf>
    <xf numFmtId="38" fontId="13" fillId="0" borderId="18" xfId="32" applyNumberFormat="1" applyFont="1" applyBorder="1" applyAlignment="1">
      <alignment horizontal="center" vertical="center"/>
    </xf>
    <xf numFmtId="40" fontId="13" fillId="0" borderId="24" xfId="32" applyFont="1" applyBorder="1" applyAlignment="1" quotePrefix="1">
      <alignment horizontal="center" vertical="center" wrapText="1"/>
    </xf>
    <xf numFmtId="0" fontId="13" fillId="0" borderId="18" xfId="17" applyFont="1" applyBorder="1" applyAlignment="1">
      <alignment horizontal="center" vertical="center"/>
      <protection/>
    </xf>
    <xf numFmtId="40" fontId="13" fillId="0" borderId="16" xfId="32" applyFont="1" applyBorder="1" applyAlignment="1">
      <alignment horizontal="center" vertical="center" wrapText="1"/>
    </xf>
    <xf numFmtId="40" fontId="13" fillId="0" borderId="15" xfId="32" applyNumberFormat="1" applyFont="1" applyBorder="1" applyProtection="1" quotePrefix="1">
      <alignment horizontal="right" vertical="center"/>
      <protection/>
    </xf>
    <xf numFmtId="0" fontId="13" fillId="0" borderId="15" xfId="18" applyFont="1" applyBorder="1" applyProtection="1">
      <alignment horizontal="left" vertical="center"/>
      <protection/>
    </xf>
    <xf numFmtId="40" fontId="13" fillId="0" borderId="16" xfId="32" applyFont="1" applyBorder="1" applyAlignment="1" applyProtection="1">
      <alignment horizontal="left" vertical="center" wrapText="1"/>
      <protection/>
    </xf>
    <xf numFmtId="20" fontId="13" fillId="0" borderId="15" xfId="18" applyNumberFormat="1" applyFont="1" applyBorder="1" applyProtection="1" quotePrefix="1">
      <alignment horizontal="left" vertical="center"/>
      <protection/>
    </xf>
    <xf numFmtId="183" fontId="13" fillId="0" borderId="15" xfId="32" applyNumberFormat="1" applyFont="1" applyBorder="1" applyProtection="1" quotePrefix="1">
      <alignment horizontal="right" vertical="center"/>
      <protection/>
    </xf>
    <xf numFmtId="0" fontId="13" fillId="0" borderId="15" xfId="18" applyFont="1" applyBorder="1">
      <alignment horizontal="left" vertical="center"/>
    </xf>
    <xf numFmtId="40" fontId="13" fillId="0" borderId="16" xfId="32" applyFont="1" applyBorder="1" applyAlignment="1">
      <alignment vertical="center" wrapText="1"/>
    </xf>
    <xf numFmtId="0" fontId="14" fillId="0" borderId="23" xfId="22" applyFont="1" applyBorder="1" applyAlignment="1">
      <alignment horizontal="left" vertical="center"/>
    </xf>
    <xf numFmtId="40" fontId="13" fillId="0" borderId="44" xfId="32" applyFont="1" applyBorder="1" applyAlignment="1">
      <alignment vertical="center"/>
    </xf>
    <xf numFmtId="40" fontId="13" fillId="0" borderId="25" xfId="32" applyFont="1" applyBorder="1" applyAlignment="1">
      <alignment vertical="center" wrapText="1"/>
    </xf>
    <xf numFmtId="43" fontId="13" fillId="0" borderId="44" xfId="0" applyNumberFormat="1" applyFont="1" applyBorder="1" applyAlignment="1">
      <alignment vertical="center"/>
    </xf>
    <xf numFmtId="0" fontId="13" fillId="0" borderId="54" xfId="22" applyFont="1" applyBorder="1" applyAlignment="1">
      <alignment vertical="center"/>
    </xf>
    <xf numFmtId="0" fontId="13" fillId="0" borderId="42" xfId="22" applyFont="1" applyFill="1" applyBorder="1" applyAlignment="1">
      <alignment horizontal="center" vertical="center"/>
    </xf>
    <xf numFmtId="38" fontId="13" fillId="0" borderId="18" xfId="32" applyNumberFormat="1" applyFont="1" applyFill="1" applyBorder="1" applyAlignment="1">
      <alignment horizontal="center" vertical="center"/>
    </xf>
    <xf numFmtId="40" fontId="13" fillId="0" borderId="18" xfId="32" applyFont="1" applyFill="1" applyBorder="1" applyAlignment="1">
      <alignment horizontal="center" vertical="center"/>
    </xf>
    <xf numFmtId="0" fontId="13" fillId="0" borderId="15" xfId="22" applyFont="1" applyFill="1" applyBorder="1" applyAlignment="1">
      <alignment horizontal="center" vertical="center"/>
    </xf>
    <xf numFmtId="40" fontId="13" fillId="0" borderId="15" xfId="32" applyFont="1" applyFill="1" applyBorder="1" applyAlignment="1">
      <alignment horizontal="center" vertical="center"/>
    </xf>
    <xf numFmtId="40" fontId="13" fillId="0" borderId="16" xfId="32" applyFont="1" applyFill="1" applyBorder="1" applyAlignment="1">
      <alignment horizontal="center" vertical="center" wrapText="1"/>
    </xf>
    <xf numFmtId="40" fontId="13" fillId="0" borderId="16" xfId="32" applyFont="1" applyFill="1" applyBorder="1" applyAlignment="1" applyProtection="1">
      <alignment horizontal="left" vertical="center" wrapText="1"/>
      <protection/>
    </xf>
    <xf numFmtId="20" fontId="13" fillId="0" borderId="15" xfId="18" applyNumberFormat="1" applyFont="1" applyFill="1" applyBorder="1" applyProtection="1" quotePrefix="1">
      <alignment horizontal="left" vertical="center"/>
      <protection/>
    </xf>
    <xf numFmtId="40" fontId="13" fillId="0" borderId="15" xfId="32" applyFont="1" applyFill="1" applyBorder="1" applyAlignment="1" applyProtection="1">
      <alignment horizontal="center" vertical="center"/>
      <protection/>
    </xf>
    <xf numFmtId="183" fontId="13" fillId="0" borderId="15" xfId="32" applyNumberFormat="1" applyFont="1" applyFill="1" applyBorder="1" applyProtection="1" quotePrefix="1">
      <alignment horizontal="right" vertical="center"/>
      <protection/>
    </xf>
    <xf numFmtId="40" fontId="13" fillId="0" borderId="15" xfId="32" applyFont="1" applyFill="1" applyBorder="1" applyProtection="1">
      <alignment horizontal="right" vertical="center"/>
      <protection/>
    </xf>
    <xf numFmtId="0" fontId="13" fillId="0" borderId="15" xfId="18" applyFont="1" applyFill="1" applyBorder="1" applyProtection="1">
      <alignment horizontal="left" vertical="center"/>
      <protection/>
    </xf>
    <xf numFmtId="40" fontId="13" fillId="0" borderId="15" xfId="32" applyNumberFormat="1" applyFont="1" applyFill="1" applyBorder="1" applyProtection="1">
      <alignment horizontal="right" vertical="center"/>
      <protection/>
    </xf>
    <xf numFmtId="0" fontId="13" fillId="0" borderId="22" xfId="15" applyFont="1" applyFill="1" applyBorder="1">
      <alignment horizontal="left" vertical="center"/>
      <protection/>
    </xf>
    <xf numFmtId="0" fontId="13" fillId="0" borderId="54" xfId="22" applyFont="1" applyFill="1" applyBorder="1" applyAlignment="1">
      <alignment vertical="center"/>
    </xf>
    <xf numFmtId="0" fontId="13" fillId="0" borderId="15" xfId="18" applyFont="1" applyFill="1" applyBorder="1">
      <alignment horizontal="left" vertical="center"/>
    </xf>
    <xf numFmtId="40" fontId="13" fillId="0" borderId="15" xfId="32" applyFont="1" applyFill="1" applyBorder="1" applyProtection="1" quotePrefix="1">
      <alignment horizontal="right" vertical="center"/>
      <protection/>
    </xf>
    <xf numFmtId="0" fontId="13" fillId="0" borderId="16" xfId="18" applyFont="1" applyFill="1" applyBorder="1" applyAlignment="1" applyProtection="1">
      <alignment horizontal="left" vertical="center" wrapText="1"/>
      <protection/>
    </xf>
    <xf numFmtId="0" fontId="13" fillId="0" borderId="55" xfId="22" applyFont="1" applyFill="1" applyBorder="1" applyAlignment="1">
      <alignment vertical="center"/>
    </xf>
    <xf numFmtId="0" fontId="13" fillId="0" borderId="56" xfId="22" applyFont="1" applyFill="1" applyBorder="1" applyAlignment="1">
      <alignment vertical="center"/>
    </xf>
    <xf numFmtId="0" fontId="13" fillId="0" borderId="57" xfId="22" applyFont="1" applyFill="1" applyBorder="1" applyAlignment="1">
      <alignment vertical="center"/>
    </xf>
    <xf numFmtId="0" fontId="13" fillId="0" borderId="57" xfId="22" applyFont="1" applyFill="1" applyBorder="1" applyAlignment="1">
      <alignment horizontal="center" vertical="center"/>
    </xf>
    <xf numFmtId="40" fontId="13" fillId="0" borderId="57" xfId="32" applyFont="1" applyFill="1" applyBorder="1" applyAlignment="1">
      <alignment vertical="center"/>
    </xf>
    <xf numFmtId="0" fontId="13" fillId="0" borderId="58" xfId="18" applyFont="1" applyFill="1" applyBorder="1" applyAlignment="1" applyProtection="1">
      <alignment horizontal="left" vertical="center" wrapText="1"/>
      <protection/>
    </xf>
    <xf numFmtId="40" fontId="13" fillId="0" borderId="25" xfId="32" applyFont="1" applyFill="1" applyBorder="1" applyAlignment="1">
      <alignment vertical="center" wrapText="1"/>
    </xf>
    <xf numFmtId="0" fontId="13" fillId="0" borderId="16" xfId="18" applyFont="1" applyFill="1" applyBorder="1" applyAlignment="1" applyProtection="1" quotePrefix="1">
      <alignment horizontal="center" vertical="center" wrapText="1"/>
      <protection/>
    </xf>
    <xf numFmtId="0" fontId="13" fillId="0" borderId="16" xfId="18" applyFont="1" applyBorder="1" applyAlignment="1" applyProtection="1">
      <alignment horizontal="center" vertical="center" wrapText="1"/>
      <protection/>
    </xf>
    <xf numFmtId="185" fontId="13" fillId="0" borderId="15" xfId="20" applyNumberFormat="1" applyFont="1" applyBorder="1" applyAlignment="1">
      <alignment horizontal="right" vertical="center"/>
      <protection/>
    </xf>
    <xf numFmtId="4" fontId="39" fillId="0" borderId="46" xfId="0" applyNumberFormat="1" applyFont="1" applyBorder="1" applyAlignment="1" quotePrefix="1">
      <alignment horizontal="distributed" vertical="center"/>
    </xf>
    <xf numFmtId="4" fontId="39" fillId="0" borderId="46" xfId="0" applyNumberFormat="1" applyFont="1" applyBorder="1" applyAlignment="1">
      <alignment horizontal="distributed" vertical="center"/>
    </xf>
    <xf numFmtId="40" fontId="12" fillId="0" borderId="5" xfId="32" applyFont="1" applyBorder="1" applyAlignment="1">
      <alignment vertical="center"/>
    </xf>
    <xf numFmtId="0" fontId="12" fillId="0" borderId="22" xfId="15" applyFont="1" applyBorder="1" applyAlignment="1">
      <alignment horizontal="left" vertical="center"/>
      <protection/>
    </xf>
    <xf numFmtId="0" fontId="13" fillId="0" borderId="18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59" xfId="22" applyFont="1" applyBorder="1" applyAlignment="1">
      <alignment horizontal="center" vertical="center"/>
    </xf>
    <xf numFmtId="38" fontId="13" fillId="0" borderId="60" xfId="32" applyNumberFormat="1" applyFont="1" applyBorder="1" applyAlignment="1">
      <alignment horizontal="center" vertical="center"/>
    </xf>
    <xf numFmtId="0" fontId="13" fillId="0" borderId="61" xfId="22" applyFont="1" applyBorder="1" applyAlignment="1">
      <alignment horizontal="centerContinuous" vertical="center"/>
    </xf>
    <xf numFmtId="0" fontId="13" fillId="0" borderId="62" xfId="22" applyFont="1" applyBorder="1" applyAlignment="1">
      <alignment horizontal="centerContinuous" vertical="center"/>
    </xf>
    <xf numFmtId="40" fontId="13" fillId="0" borderId="60" xfId="32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" fontId="13" fillId="0" borderId="55" xfId="0" applyNumberFormat="1" applyFont="1" applyBorder="1" applyAlignment="1">
      <alignment horizontal="distributed" vertical="center"/>
    </xf>
    <xf numFmtId="4" fontId="15" fillId="0" borderId="14" xfId="19" applyNumberFormat="1" applyFont="1" applyBorder="1" applyAlignment="1">
      <alignment horizontal="distributed" vertical="center"/>
      <protection/>
    </xf>
    <xf numFmtId="4" fontId="39" fillId="0" borderId="15" xfId="0" applyNumberFormat="1" applyFont="1" applyBorder="1" applyAlignment="1">
      <alignment horizontal="distributed" vertical="center"/>
    </xf>
    <xf numFmtId="0" fontId="3" fillId="0" borderId="5" xfId="22" applyFont="1" applyBorder="1" applyAlignment="1">
      <alignment vertical="center"/>
    </xf>
    <xf numFmtId="0" fontId="3" fillId="0" borderId="5" xfId="18" applyFont="1" applyBorder="1">
      <alignment horizontal="left" vertical="center"/>
    </xf>
    <xf numFmtId="40" fontId="3" fillId="0" borderId="5" xfId="32" applyFont="1" applyBorder="1" applyProtection="1">
      <alignment horizontal="right" vertical="center"/>
      <protection/>
    </xf>
    <xf numFmtId="4" fontId="13" fillId="0" borderId="15" xfId="19" applyNumberFormat="1" applyFont="1" applyBorder="1" applyAlignment="1">
      <alignment horizontal="right" vertical="center"/>
      <protection/>
    </xf>
    <xf numFmtId="0" fontId="13" fillId="0" borderId="42" xfId="23" applyFont="1" applyBorder="1" applyAlignment="1">
      <alignment horizontal="center" vertical="center"/>
    </xf>
    <xf numFmtId="40" fontId="13" fillId="0" borderId="54" xfId="32" applyFont="1" applyBorder="1" applyAlignment="1">
      <alignment horizontal="distributed" vertical="center"/>
    </xf>
    <xf numFmtId="4" fontId="39" fillId="4" borderId="15" xfId="0" applyNumberFormat="1" applyFont="1" applyFill="1" applyBorder="1" applyAlignment="1" quotePrefix="1">
      <alignment horizontal="center" vertical="center"/>
    </xf>
    <xf numFmtId="190" fontId="16" fillId="4" borderId="15" xfId="30" applyNumberFormat="1" applyFont="1" applyFill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vertical="center"/>
    </xf>
    <xf numFmtId="0" fontId="38" fillId="0" borderId="0" xfId="23" applyFont="1" applyAlignment="1">
      <alignment horizontal="centerContinuous"/>
    </xf>
    <xf numFmtId="4" fontId="44" fillId="0" borderId="0" xfId="20" applyNumberFormat="1" applyFont="1" applyAlignment="1">
      <alignment vertical="center"/>
      <protection/>
    </xf>
    <xf numFmtId="0" fontId="13" fillId="0" borderId="22" xfId="22" applyFont="1" applyFill="1" applyBorder="1" applyAlignment="1">
      <alignment horizontal="distributed" vertical="center"/>
    </xf>
    <xf numFmtId="0" fontId="13" fillId="0" borderId="54" xfId="22" applyFont="1" applyFill="1" applyBorder="1" applyAlignment="1">
      <alignment horizontal="distributed" vertical="center"/>
    </xf>
    <xf numFmtId="0" fontId="13" fillId="0" borderId="22" xfId="22" applyFont="1" applyBorder="1" applyAlignment="1">
      <alignment horizontal="distributed" vertical="distributed"/>
    </xf>
    <xf numFmtId="40" fontId="13" fillId="0" borderId="15" xfId="32" applyFont="1" applyBorder="1" applyAlignment="1">
      <alignment horizontal="distributed" vertical="center"/>
    </xf>
    <xf numFmtId="186" fontId="13" fillId="0" borderId="15" xfId="32" applyNumberFormat="1" applyFont="1" applyBorder="1" applyProtection="1">
      <alignment horizontal="right" vertical="center"/>
      <protection/>
    </xf>
    <xf numFmtId="0" fontId="16" fillId="0" borderId="18" xfId="23" applyFont="1" applyBorder="1" applyAlignment="1">
      <alignment horizontal="centerContinuous" vertical="center"/>
    </xf>
    <xf numFmtId="0" fontId="13" fillId="0" borderId="15" xfId="23" applyFont="1" applyBorder="1" applyAlignment="1">
      <alignment horizontal="center" vertical="center"/>
    </xf>
    <xf numFmtId="0" fontId="13" fillId="0" borderId="15" xfId="18" applyFont="1" applyBorder="1" applyAlignment="1" applyProtection="1">
      <alignment horizontal="left" vertical="center" wrapText="1"/>
      <protection/>
    </xf>
    <xf numFmtId="4" fontId="13" fillId="0" borderId="15" xfId="0" applyNumberFormat="1" applyFont="1" applyBorder="1" applyAlignment="1">
      <alignment/>
    </xf>
    <xf numFmtId="40" fontId="13" fillId="0" borderId="24" xfId="32" applyFont="1" applyFill="1" applyBorder="1" applyAlignment="1">
      <alignment horizontal="center" vertical="center"/>
    </xf>
    <xf numFmtId="40" fontId="13" fillId="0" borderId="63" xfId="32" applyFont="1" applyBorder="1" applyAlignment="1">
      <alignment horizontal="center" vertical="center"/>
    </xf>
    <xf numFmtId="3" fontId="12" fillId="0" borderId="10" xfId="19" applyNumberFormat="1" applyFont="1" applyBorder="1" applyAlignment="1">
      <alignment vertical="center"/>
      <protection/>
    </xf>
    <xf numFmtId="40" fontId="15" fillId="0" borderId="15" xfId="32" applyFont="1" applyBorder="1" applyAlignment="1">
      <alignment horizontal="center" vertical="center"/>
    </xf>
    <xf numFmtId="0" fontId="13" fillId="0" borderId="22" xfId="15" applyFont="1" applyBorder="1" applyAlignment="1">
      <alignment horizontal="left" vertical="center"/>
      <protection/>
    </xf>
    <xf numFmtId="40" fontId="15" fillId="0" borderId="16" xfId="32" applyFont="1" applyBorder="1" applyAlignment="1">
      <alignment horizontal="center" vertical="center"/>
    </xf>
    <xf numFmtId="0" fontId="16" fillId="0" borderId="15" xfId="18" applyFont="1" applyBorder="1" applyProtection="1">
      <alignment horizontal="left" vertical="center"/>
      <protection/>
    </xf>
    <xf numFmtId="0" fontId="13" fillId="0" borderId="0" xfId="22" applyFont="1" applyAlignment="1">
      <alignment horizontal="centerContinuous" vertical="center"/>
    </xf>
    <xf numFmtId="0" fontId="13" fillId="0" borderId="0" xfId="22" applyFont="1" applyAlignment="1" applyProtection="1">
      <alignment vertical="center"/>
      <protection/>
    </xf>
    <xf numFmtId="0" fontId="13" fillId="0" borderId="16" xfId="18" applyFont="1" applyBorder="1" applyAlignment="1">
      <alignment horizontal="center" vertical="center"/>
    </xf>
    <xf numFmtId="0" fontId="13" fillId="0" borderId="5" xfId="22" applyFont="1" applyBorder="1" applyAlignment="1" applyProtection="1">
      <alignment horizontal="left" vertical="center"/>
      <protection/>
    </xf>
    <xf numFmtId="0" fontId="13" fillId="0" borderId="5" xfId="22" applyFont="1" applyBorder="1" applyAlignment="1">
      <alignment horizontal="centerContinuous" vertical="center"/>
    </xf>
    <xf numFmtId="0" fontId="13" fillId="0" borderId="5" xfId="22" applyFont="1" applyBorder="1" applyAlignment="1" applyProtection="1">
      <alignment horizontal="center" vertical="center"/>
      <protection/>
    </xf>
    <xf numFmtId="40" fontId="14" fillId="0" borderId="23" xfId="32" applyFont="1" applyBorder="1" applyAlignment="1" quotePrefix="1">
      <alignment horizontal="right" vertical="center"/>
    </xf>
    <xf numFmtId="0" fontId="13" fillId="0" borderId="54" xfId="0" applyFont="1" applyBorder="1" applyAlignment="1">
      <alignment/>
    </xf>
    <xf numFmtId="0" fontId="14" fillId="0" borderId="23" xfId="22" applyFont="1" applyBorder="1" applyAlignment="1">
      <alignment horizontal="right" vertical="center"/>
    </xf>
    <xf numFmtId="40" fontId="14" fillId="0" borderId="64" xfId="32" applyFont="1" applyBorder="1" applyAlignment="1">
      <alignment horizontal="center" vertical="center"/>
    </xf>
    <xf numFmtId="40" fontId="14" fillId="0" borderId="23" xfId="32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12" fillId="0" borderId="0" xfId="25" applyFont="1" applyAlignment="1" applyProtection="1">
      <alignment horizontal="left" vertical="center"/>
      <protection/>
    </xf>
    <xf numFmtId="0" fontId="12" fillId="0" borderId="0" xfId="25" applyFont="1" applyAlignment="1" applyProtection="1">
      <alignment vertical="center"/>
      <protection locked="0"/>
    </xf>
    <xf numFmtId="4" fontId="12" fillId="0" borderId="0" xfId="28" applyNumberFormat="1" applyFont="1" applyBorder="1" applyAlignment="1">
      <alignment horizontal="left" vertical="center"/>
      <protection/>
    </xf>
    <xf numFmtId="0" fontId="12" fillId="0" borderId="65" xfId="25" applyFont="1" applyBorder="1" applyAlignment="1" applyProtection="1">
      <alignment horizontal="center" vertical="center"/>
      <protection/>
    </xf>
    <xf numFmtId="0" fontId="12" fillId="0" borderId="66" xfId="25" applyFont="1" applyBorder="1" applyAlignment="1" applyProtection="1">
      <alignment horizontal="centerContinuous" vertical="center"/>
      <protection/>
    </xf>
    <xf numFmtId="0" fontId="4" fillId="0" borderId="67" xfId="25" applyFont="1" applyBorder="1" applyAlignment="1" applyProtection="1">
      <alignment horizontal="centerContinuous" vertical="center"/>
      <protection/>
    </xf>
    <xf numFmtId="0" fontId="4" fillId="0" borderId="68" xfId="25" applyFont="1" applyBorder="1" applyAlignment="1" applyProtection="1">
      <alignment horizontal="right" vertical="center"/>
      <protection/>
    </xf>
    <xf numFmtId="0" fontId="4" fillId="0" borderId="69" xfId="25" applyFont="1" applyBorder="1" applyAlignment="1" applyProtection="1" quotePrefix="1">
      <alignment horizontal="center" vertical="center"/>
      <protection/>
    </xf>
    <xf numFmtId="201" fontId="4" fillId="0" borderId="70" xfId="25" applyNumberFormat="1" applyFont="1" applyBorder="1" applyAlignment="1" applyProtection="1">
      <alignment horizontal="left" vertical="center"/>
      <protection/>
    </xf>
    <xf numFmtId="182" fontId="5" fillId="0" borderId="71" xfId="25" applyNumberFormat="1" applyFont="1" applyBorder="1" applyAlignment="1" applyProtection="1" quotePrefix="1">
      <alignment horizontal="center" vertical="center"/>
      <protection/>
    </xf>
    <xf numFmtId="190" fontId="5" fillId="0" borderId="72" xfId="0" applyNumberFormat="1" applyFont="1" applyBorder="1" applyAlignment="1">
      <alignment vertical="center"/>
    </xf>
    <xf numFmtId="185" fontId="4" fillId="0" borderId="70" xfId="25" applyNumberFormat="1" applyFont="1" applyBorder="1" applyAlignment="1" applyProtection="1">
      <alignment horizontal="left" vertical="center"/>
      <protection/>
    </xf>
    <xf numFmtId="182" fontId="5" fillId="0" borderId="71" xfId="25" applyNumberFormat="1" applyFont="1" applyBorder="1" applyAlignment="1" applyProtection="1" quotePrefix="1">
      <alignment horizontal="right" vertical="center"/>
      <protection/>
    </xf>
    <xf numFmtId="181" fontId="4" fillId="0" borderId="70" xfId="25" applyNumberFormat="1" applyFont="1" applyBorder="1" applyAlignment="1" applyProtection="1">
      <alignment horizontal="left" vertical="center"/>
      <protection/>
    </xf>
    <xf numFmtId="0" fontId="0" fillId="0" borderId="69" xfId="25" applyFont="1" applyBorder="1" applyAlignment="1" applyProtection="1">
      <alignment horizontal="center" vertical="center"/>
      <protection/>
    </xf>
    <xf numFmtId="0" fontId="12" fillId="0" borderId="0" xfId="25" applyFont="1" applyBorder="1" applyAlignment="1" applyProtection="1">
      <alignment horizontal="centerContinuous" vertical="center"/>
      <protection/>
    </xf>
    <xf numFmtId="0" fontId="4" fillId="0" borderId="0" xfId="25" applyFont="1" applyBorder="1" applyAlignment="1" applyProtection="1">
      <alignment horizontal="centerContinuous" vertical="center"/>
      <protection/>
    </xf>
    <xf numFmtId="182" fontId="5" fillId="0" borderId="0" xfId="25" applyNumberFormat="1" applyFont="1" applyBorder="1" applyAlignment="1" applyProtection="1">
      <alignment horizontal="centerContinuous" vertical="center"/>
      <protection/>
    </xf>
    <xf numFmtId="184" fontId="5" fillId="0" borderId="0" xfId="25" applyNumberFormat="1" applyFont="1" applyBorder="1" applyAlignment="1" applyProtection="1">
      <alignment horizontal="right" vertical="center"/>
      <protection/>
    </xf>
    <xf numFmtId="4" fontId="5" fillId="0" borderId="0" xfId="25" applyNumberFormat="1" applyFont="1" applyBorder="1" applyAlignment="1" applyProtection="1">
      <alignment horizontal="right" vertical="center"/>
      <protection/>
    </xf>
    <xf numFmtId="199" fontId="5" fillId="0" borderId="70" xfId="25" applyNumberFormat="1" applyFont="1" applyBorder="1" applyAlignment="1" applyProtection="1">
      <alignment horizontal="right" vertical="center"/>
      <protection/>
    </xf>
    <xf numFmtId="199" fontId="5" fillId="0" borderId="73" xfId="25" applyNumberFormat="1" applyFont="1" applyBorder="1" applyAlignment="1" applyProtection="1">
      <alignment horizontal="right" vertical="center"/>
      <protection/>
    </xf>
    <xf numFmtId="0" fontId="12" fillId="0" borderId="0" xfId="25" applyFont="1" applyAlignment="1" applyProtection="1" quotePrefix="1">
      <alignment vertical="center"/>
      <protection locked="0"/>
    </xf>
    <xf numFmtId="0" fontId="12" fillId="0" borderId="74" xfId="25" applyFont="1" applyBorder="1" applyAlignment="1" applyProtection="1">
      <alignment horizontal="center" vertical="center"/>
      <protection/>
    </xf>
    <xf numFmtId="190" fontId="5" fillId="0" borderId="70" xfId="25" applyNumberFormat="1" applyFont="1" applyBorder="1" applyAlignment="1" applyProtection="1">
      <alignment horizontal="right" vertical="center"/>
      <protection/>
    </xf>
    <xf numFmtId="190" fontId="5" fillId="0" borderId="73" xfId="25" applyNumberFormat="1" applyFont="1" applyBorder="1" applyAlignment="1" applyProtection="1">
      <alignment horizontal="right" vertical="center"/>
      <protection/>
    </xf>
    <xf numFmtId="190" fontId="5" fillId="0" borderId="75" xfId="25" applyNumberFormat="1" applyFont="1" applyBorder="1" applyAlignment="1" applyProtection="1">
      <alignment horizontal="right" vertical="center"/>
      <protection/>
    </xf>
    <xf numFmtId="0" fontId="12" fillId="4" borderId="0" xfId="0" applyFont="1" applyFill="1" applyBorder="1" applyAlignment="1">
      <alignment/>
    </xf>
    <xf numFmtId="4" fontId="12" fillId="0" borderId="0" xfId="27" applyNumberFormat="1" applyFont="1" applyBorder="1">
      <alignment/>
      <protection/>
    </xf>
    <xf numFmtId="0" fontId="12" fillId="4" borderId="16" xfId="0" applyFont="1" applyFill="1" applyBorder="1" applyAlignment="1">
      <alignment horizontal="center"/>
    </xf>
    <xf numFmtId="40" fontId="15" fillId="0" borderId="5" xfId="32" applyFont="1" applyBorder="1" applyAlignment="1">
      <alignment horizontal="centerContinuous"/>
    </xf>
    <xf numFmtId="0" fontId="12" fillId="0" borderId="5" xfId="23" applyFont="1" applyBorder="1" applyAlignment="1">
      <alignment horizontal="center" vertical="center"/>
    </xf>
    <xf numFmtId="0" fontId="16" fillId="0" borderId="5" xfId="18" applyFont="1" applyBorder="1" applyAlignment="1" applyProtection="1">
      <alignment horizontal="left" vertical="center" wrapText="1"/>
      <protection/>
    </xf>
    <xf numFmtId="40" fontId="18" fillId="0" borderId="17" xfId="32" applyFont="1" applyBorder="1" applyAlignment="1" applyProtection="1">
      <alignment horizontal="left" vertical="center" wrapText="1"/>
      <protection/>
    </xf>
    <xf numFmtId="4" fontId="12" fillId="0" borderId="5" xfId="21" applyNumberFormat="1" applyFont="1" applyBorder="1">
      <alignment/>
      <protection/>
    </xf>
    <xf numFmtId="0" fontId="12" fillId="0" borderId="22" xfId="23" applyFont="1" applyBorder="1" applyAlignment="1">
      <alignment horizontal="left" vertical="center"/>
    </xf>
    <xf numFmtId="0" fontId="15" fillId="0" borderId="5" xfId="23" applyFont="1" applyBorder="1" applyAlignment="1">
      <alignment horizontal="centerContinuous"/>
    </xf>
    <xf numFmtId="0" fontId="26" fillId="0" borderId="5" xfId="22" applyFont="1" applyBorder="1" applyAlignment="1">
      <alignment vertical="center"/>
    </xf>
    <xf numFmtId="0" fontId="17" fillId="0" borderId="22" xfId="15" applyFont="1" applyBorder="1" applyAlignment="1" quotePrefix="1">
      <alignment horizontal="left" vertical="center"/>
      <protection/>
    </xf>
    <xf numFmtId="40" fontId="15" fillId="0" borderId="17" xfId="32" applyFont="1" applyBorder="1" applyAlignment="1" quotePrefix="1">
      <alignment horizontal="left" vertical="center"/>
    </xf>
    <xf numFmtId="0" fontId="4" fillId="0" borderId="69" xfId="25" applyFont="1" applyBorder="1" applyAlignment="1" applyProtection="1">
      <alignment horizontal="center" vertical="center"/>
      <protection/>
    </xf>
    <xf numFmtId="0" fontId="4" fillId="0" borderId="70" xfId="25" applyFont="1" applyBorder="1" applyAlignment="1" applyProtection="1" quotePrefix="1">
      <alignment horizontal="center" vertical="center"/>
      <protection/>
    </xf>
    <xf numFmtId="0" fontId="4" fillId="0" borderId="76" xfId="25" applyFont="1" applyBorder="1" applyAlignment="1" applyProtection="1">
      <alignment horizontal="center" vertical="center"/>
      <protection/>
    </xf>
    <xf numFmtId="0" fontId="12" fillId="0" borderId="77" xfId="25" applyFont="1" applyBorder="1" applyAlignment="1" applyProtection="1">
      <alignment horizontal="center" vertical="center"/>
      <protection/>
    </xf>
    <xf numFmtId="0" fontId="12" fillId="0" borderId="78" xfId="25" applyFont="1" applyBorder="1" applyAlignment="1" applyProtection="1">
      <alignment horizontal="center" vertical="center"/>
      <protection/>
    </xf>
    <xf numFmtId="190" fontId="5" fillId="0" borderId="79" xfId="0" applyNumberFormat="1" applyFont="1" applyBorder="1" applyAlignment="1">
      <alignment vertical="center"/>
    </xf>
    <xf numFmtId="0" fontId="12" fillId="0" borderId="80" xfId="25" applyFont="1" applyBorder="1" applyAlignment="1" applyProtection="1">
      <alignment horizontal="center" vertical="center"/>
      <protection/>
    </xf>
    <xf numFmtId="0" fontId="51" fillId="0" borderId="81" xfId="25" applyFont="1" applyBorder="1" applyAlignment="1" applyProtection="1">
      <alignment horizontal="center" vertical="center"/>
      <protection/>
    </xf>
    <xf numFmtId="0" fontId="12" fillId="0" borderId="82" xfId="25" applyFont="1" applyBorder="1" applyAlignment="1" applyProtection="1">
      <alignment horizontal="center" vertical="center"/>
      <protection/>
    </xf>
    <xf numFmtId="0" fontId="53" fillId="0" borderId="82" xfId="25" applyFont="1" applyBorder="1" applyAlignment="1" applyProtection="1">
      <alignment horizontal="center" vertical="center"/>
      <protection/>
    </xf>
    <xf numFmtId="0" fontId="53" fillId="0" borderId="83" xfId="25" applyFont="1" applyBorder="1" applyAlignment="1" applyProtection="1">
      <alignment horizontal="center" vertical="center"/>
      <protection/>
    </xf>
    <xf numFmtId="0" fontId="13" fillId="4" borderId="0" xfId="0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12" fillId="4" borderId="42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49" fontId="12" fillId="4" borderId="18" xfId="0" applyNumberFormat="1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22" applyFont="1" applyFill="1" applyBorder="1" applyAlignment="1" applyProtection="1">
      <alignment horizontal="center"/>
      <protection/>
    </xf>
    <xf numFmtId="0" fontId="13" fillId="4" borderId="46" xfId="0" applyFont="1" applyFill="1" applyBorder="1" applyAlignment="1">
      <alignment horizontal="center" vertical="center"/>
    </xf>
    <xf numFmtId="4" fontId="16" fillId="0" borderId="15" xfId="20" applyNumberFormat="1" applyFont="1" applyBorder="1" applyAlignment="1">
      <alignment horizontal="center" vertical="center" wrapText="1"/>
      <protection/>
    </xf>
    <xf numFmtId="0" fontId="12" fillId="0" borderId="19" xfId="15" applyFont="1" applyBorder="1" applyAlignment="1" quotePrefix="1">
      <alignment horizontal="left" vertical="center"/>
      <protection/>
    </xf>
    <xf numFmtId="0" fontId="12" fillId="0" borderId="22" xfId="0" applyFont="1" applyFill="1" applyBorder="1" applyAlignment="1" quotePrefix="1">
      <alignment horizontal="left"/>
    </xf>
    <xf numFmtId="0" fontId="12" fillId="0" borderId="5" xfId="22" applyFont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185" fontId="12" fillId="4" borderId="15" xfId="0" applyNumberFormat="1" applyFont="1" applyFill="1" applyBorder="1" applyAlignment="1">
      <alignment horizontal="center" vertical="center"/>
    </xf>
    <xf numFmtId="4" fontId="40" fillId="4" borderId="52" xfId="0" applyNumberFormat="1" applyFont="1" applyFill="1" applyBorder="1" applyAlignment="1" quotePrefix="1">
      <alignment horizontal="left" vertical="center"/>
    </xf>
    <xf numFmtId="0" fontId="12" fillId="4" borderId="44" xfId="0" applyFont="1" applyFill="1" applyBorder="1" applyAlignment="1">
      <alignment vertical="center"/>
    </xf>
    <xf numFmtId="185" fontId="12" fillId="4" borderId="44" xfId="0" applyNumberFormat="1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/>
    </xf>
    <xf numFmtId="188" fontId="13" fillId="0" borderId="45" xfId="30" applyNumberFormat="1" applyFont="1" applyBorder="1" applyAlignment="1" applyProtection="1">
      <alignment horizontal="right" vertical="center"/>
      <protection/>
    </xf>
    <xf numFmtId="189" fontId="13" fillId="0" borderId="45" xfId="0" applyNumberFormat="1" applyFont="1" applyBorder="1" applyAlignment="1">
      <alignment vertical="center"/>
    </xf>
    <xf numFmtId="4" fontId="39" fillId="4" borderId="44" xfId="0" applyNumberFormat="1" applyFont="1" applyFill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3" fillId="0" borderId="5" xfId="22" applyFont="1" applyBorder="1" applyAlignment="1">
      <alignment horizontal="distributed" vertical="distributed"/>
    </xf>
    <xf numFmtId="40" fontId="15" fillId="0" borderId="25" xfId="32" applyFont="1" applyBorder="1" applyAlignment="1">
      <alignment vertical="center"/>
    </xf>
    <xf numFmtId="0" fontId="15" fillId="0" borderId="18" xfId="17" applyFont="1" applyBorder="1" applyAlignment="1">
      <alignment horizontal="center" vertical="center"/>
      <protection/>
    </xf>
    <xf numFmtId="40" fontId="15" fillId="0" borderId="18" xfId="32" applyFont="1" applyBorder="1" applyAlignment="1">
      <alignment horizontal="center" vertical="center"/>
    </xf>
    <xf numFmtId="40" fontId="15" fillId="0" borderId="24" xfId="32" applyFont="1" applyBorder="1" applyAlignment="1">
      <alignment horizontal="center" vertical="center"/>
    </xf>
    <xf numFmtId="0" fontId="15" fillId="0" borderId="15" xfId="23" applyFont="1" applyBorder="1" applyAlignment="1">
      <alignment horizontal="center" vertical="center"/>
    </xf>
    <xf numFmtId="40" fontId="15" fillId="0" borderId="15" xfId="32" applyFont="1" applyBorder="1" applyAlignment="1" quotePrefix="1">
      <alignment horizontal="center" vertical="center"/>
    </xf>
    <xf numFmtId="0" fontId="16" fillId="0" borderId="84" xfId="20" applyFont="1" applyBorder="1" applyAlignment="1">
      <alignment horizontal="center" vertical="center"/>
      <protection/>
    </xf>
    <xf numFmtId="40" fontId="15" fillId="0" borderId="16" xfId="32" applyFont="1" applyBorder="1" applyAlignment="1" applyProtection="1">
      <alignment horizontal="left" vertical="center"/>
      <protection/>
    </xf>
    <xf numFmtId="4" fontId="16" fillId="0" borderId="85" xfId="20" applyNumberFormat="1" applyFont="1" applyBorder="1" applyAlignment="1">
      <alignment horizontal="center" vertical="center"/>
      <protection/>
    </xf>
    <xf numFmtId="4" fontId="21" fillId="0" borderId="85" xfId="20" applyNumberFormat="1" applyFont="1" applyBorder="1" applyAlignment="1">
      <alignment horizontal="center" vertical="center"/>
      <protection/>
    </xf>
    <xf numFmtId="0" fontId="16" fillId="0" borderId="15" xfId="18" applyFont="1" applyBorder="1">
      <alignment horizontal="left" vertical="center"/>
    </xf>
    <xf numFmtId="40" fontId="16" fillId="0" borderId="15" xfId="32" applyFont="1" applyBorder="1" applyAlignment="1" applyProtection="1">
      <alignment horizontal="center" vertical="center"/>
      <protection/>
    </xf>
    <xf numFmtId="0" fontId="15" fillId="0" borderId="22" xfId="15" applyFont="1" applyBorder="1">
      <alignment horizontal="left" vertical="center"/>
      <protection/>
    </xf>
    <xf numFmtId="40" fontId="15" fillId="0" borderId="15" xfId="32" applyFont="1" applyBorder="1" applyAlignment="1" applyProtection="1">
      <alignment horizontal="center" vertical="center"/>
      <protection/>
    </xf>
    <xf numFmtId="40" fontId="15" fillId="0" borderId="15" xfId="32" applyFont="1" applyBorder="1" applyAlignment="1" applyProtection="1">
      <alignment horizontal="right" vertical="center"/>
      <protection/>
    </xf>
    <xf numFmtId="0" fontId="15" fillId="0" borderId="16" xfId="18" applyFont="1" applyBorder="1" applyProtection="1">
      <alignment horizontal="left" vertical="center"/>
      <protection/>
    </xf>
    <xf numFmtId="0" fontId="15" fillId="4" borderId="53" xfId="22" applyFont="1" applyFill="1" applyBorder="1" applyAlignment="1">
      <alignment vertical="center"/>
    </xf>
    <xf numFmtId="0" fontId="15" fillId="4" borderId="23" xfId="22" applyFont="1" applyFill="1" applyBorder="1" applyAlignment="1">
      <alignment vertical="center"/>
    </xf>
    <xf numFmtId="40" fontId="15" fillId="4" borderId="44" xfId="32" applyFont="1" applyFill="1" applyBorder="1" applyAlignment="1">
      <alignment vertical="center"/>
    </xf>
    <xf numFmtId="40" fontId="15" fillId="4" borderId="25" xfId="32" applyFont="1" applyFill="1" applyBorder="1" applyAlignment="1">
      <alignment vertical="center"/>
    </xf>
    <xf numFmtId="38" fontId="13" fillId="4" borderId="18" xfId="32" applyNumberFormat="1" applyFont="1" applyFill="1" applyBorder="1" applyAlignment="1">
      <alignment horizontal="center" vertical="center"/>
    </xf>
    <xf numFmtId="40" fontId="15" fillId="4" borderId="18" xfId="32" applyFont="1" applyFill="1" applyBorder="1" applyAlignment="1">
      <alignment horizontal="center" vertical="center"/>
    </xf>
    <xf numFmtId="40" fontId="15" fillId="4" borderId="24" xfId="0" applyNumberFormat="1" applyFont="1" applyFill="1" applyBorder="1" applyAlignment="1">
      <alignment horizontal="center" vertical="center"/>
    </xf>
    <xf numFmtId="0" fontId="13" fillId="4" borderId="15" xfId="23" applyFont="1" applyFill="1" applyBorder="1" applyAlignment="1">
      <alignment horizontal="center" vertical="center"/>
    </xf>
    <xf numFmtId="40" fontId="13" fillId="4" borderId="15" xfId="32" applyFont="1" applyFill="1" applyBorder="1" applyAlignment="1">
      <alignment horizontal="center" vertical="center"/>
    </xf>
    <xf numFmtId="40" fontId="13" fillId="4" borderId="15" xfId="32" applyFont="1" applyFill="1" applyBorder="1" applyAlignment="1" quotePrefix="1">
      <alignment horizontal="center" vertical="center"/>
    </xf>
    <xf numFmtId="40" fontId="13" fillId="4" borderId="16" xfId="32" applyFont="1" applyFill="1" applyBorder="1" applyAlignment="1">
      <alignment horizontal="center" vertical="center"/>
    </xf>
    <xf numFmtId="4" fontId="16" fillId="4" borderId="85" xfId="20" applyNumberFormat="1" applyFont="1" applyFill="1" applyBorder="1" applyAlignment="1" quotePrefix="1">
      <alignment horizontal="center" vertical="center" wrapText="1"/>
      <protection/>
    </xf>
    <xf numFmtId="0" fontId="13" fillId="4" borderId="85" xfId="20" applyFont="1" applyFill="1" applyBorder="1" applyAlignment="1">
      <alignment horizontal="center" vertical="center"/>
      <protection/>
    </xf>
    <xf numFmtId="190" fontId="13" fillId="4" borderId="85" xfId="20" applyNumberFormat="1" applyFont="1" applyFill="1" applyBorder="1" applyAlignment="1">
      <alignment horizontal="right" vertical="center"/>
      <protection/>
    </xf>
    <xf numFmtId="2" fontId="13" fillId="4" borderId="85" xfId="20" applyNumberFormat="1" applyFont="1" applyFill="1" applyBorder="1" applyAlignment="1">
      <alignment horizontal="right" vertical="center"/>
      <protection/>
    </xf>
    <xf numFmtId="40" fontId="13" fillId="4" borderId="15" xfId="32" applyFont="1" applyFill="1" applyBorder="1" applyAlignment="1" applyProtection="1">
      <alignment horizontal="right" vertical="center"/>
      <protection/>
    </xf>
    <xf numFmtId="40" fontId="13" fillId="4" borderId="16" xfId="32" applyFont="1" applyFill="1" applyBorder="1" applyAlignment="1" applyProtection="1">
      <alignment horizontal="left" vertical="center"/>
      <protection/>
    </xf>
    <xf numFmtId="4" fontId="13" fillId="4" borderId="85" xfId="20" applyNumberFormat="1" applyFont="1" applyFill="1" applyBorder="1" applyAlignment="1">
      <alignment horizontal="center" vertical="center"/>
      <protection/>
    </xf>
    <xf numFmtId="0" fontId="13" fillId="4" borderId="85" xfId="20" applyFont="1" applyFill="1" applyBorder="1" applyAlignment="1" quotePrefix="1">
      <alignment horizontal="right" vertical="center"/>
      <protection/>
    </xf>
    <xf numFmtId="0" fontId="13" fillId="4" borderId="22" xfId="15" applyFont="1" applyFill="1" applyBorder="1" applyAlignment="1">
      <alignment horizontal="center" vertical="center"/>
      <protection/>
    </xf>
    <xf numFmtId="0" fontId="13" fillId="4" borderId="54" xfId="23" applyFont="1" applyFill="1" applyBorder="1" applyAlignment="1">
      <alignment vertical="center"/>
    </xf>
    <xf numFmtId="0" fontId="13" fillId="4" borderId="15" xfId="18" applyFont="1" applyFill="1" applyBorder="1" applyAlignment="1">
      <alignment horizontal="left" vertical="center"/>
    </xf>
    <xf numFmtId="40" fontId="13" fillId="4" borderId="15" xfId="32" applyFont="1" applyFill="1" applyBorder="1" applyAlignment="1" applyProtection="1">
      <alignment horizontal="center" vertical="center"/>
      <protection/>
    </xf>
    <xf numFmtId="0" fontId="16" fillId="4" borderId="55" xfId="20" applyFont="1" applyFill="1" applyBorder="1" applyAlignment="1">
      <alignment vertical="center"/>
      <protection/>
    </xf>
    <xf numFmtId="0" fontId="16" fillId="4" borderId="54" xfId="23" applyFont="1" applyFill="1" applyBorder="1" applyAlignment="1" applyProtection="1">
      <alignment horizontal="left" vertical="center"/>
      <protection/>
    </xf>
    <xf numFmtId="4" fontId="21" fillId="4" borderId="85" xfId="20" applyNumberFormat="1" applyFont="1" applyFill="1" applyBorder="1" applyAlignment="1">
      <alignment horizontal="center" vertical="center"/>
      <protection/>
    </xf>
    <xf numFmtId="0" fontId="16" fillId="4" borderId="84" xfId="20" applyFont="1" applyFill="1" applyBorder="1" applyAlignment="1">
      <alignment horizontal="center" vertical="center"/>
      <protection/>
    </xf>
    <xf numFmtId="190" fontId="16" fillId="4" borderId="85" xfId="20" applyNumberFormat="1" applyFont="1" applyFill="1" applyBorder="1" applyAlignment="1">
      <alignment horizontal="right" vertical="center"/>
      <protection/>
    </xf>
    <xf numFmtId="0" fontId="16" fillId="4" borderId="85" xfId="20" applyFont="1" applyFill="1" applyBorder="1" applyAlignment="1" quotePrefix="1">
      <alignment horizontal="right" vertical="center"/>
      <protection/>
    </xf>
    <xf numFmtId="40" fontId="16" fillId="4" borderId="15" xfId="32" applyFont="1" applyFill="1" applyBorder="1" applyProtection="1">
      <alignment horizontal="right" vertical="center"/>
      <protection/>
    </xf>
    <xf numFmtId="4" fontId="16" fillId="4" borderId="58" xfId="20" applyNumberFormat="1" applyFont="1" applyFill="1" applyBorder="1" applyAlignment="1">
      <alignment horizontal="center" vertical="center"/>
      <protection/>
    </xf>
    <xf numFmtId="0" fontId="16" fillId="4" borderId="22" xfId="15" applyFont="1" applyFill="1" applyBorder="1" applyAlignment="1">
      <alignment horizontal="center" vertical="center"/>
      <protection/>
    </xf>
    <xf numFmtId="0" fontId="16" fillId="4" borderId="54" xfId="23" applyFont="1" applyFill="1" applyBorder="1" applyAlignment="1">
      <alignment vertical="center"/>
    </xf>
    <xf numFmtId="0" fontId="16" fillId="4" borderId="15" xfId="18" applyFont="1" applyFill="1" applyBorder="1">
      <alignment horizontal="left" vertical="center"/>
    </xf>
    <xf numFmtId="40" fontId="16" fillId="4" borderId="15" xfId="32" applyFont="1" applyFill="1" applyBorder="1" applyAlignment="1" applyProtection="1">
      <alignment horizontal="center" vertical="center"/>
      <protection/>
    </xf>
    <xf numFmtId="40" fontId="15" fillId="4" borderId="16" xfId="32" applyFont="1" applyFill="1" applyBorder="1" applyAlignment="1" applyProtection="1">
      <alignment horizontal="left" vertical="center"/>
      <protection/>
    </xf>
    <xf numFmtId="0" fontId="16" fillId="4" borderId="22" xfId="15" applyFont="1" applyFill="1" applyBorder="1">
      <alignment horizontal="left" vertical="center"/>
      <protection/>
    </xf>
    <xf numFmtId="0" fontId="15" fillId="4" borderId="16" xfId="18" applyFont="1" applyFill="1" applyBorder="1" applyAlignment="1" applyProtection="1">
      <alignment horizontal="left" vertical="center"/>
      <protection/>
    </xf>
    <xf numFmtId="0" fontId="15" fillId="4" borderId="15" xfId="23" applyFont="1" applyFill="1" applyBorder="1" applyAlignment="1">
      <alignment horizontal="center" vertical="center"/>
    </xf>
    <xf numFmtId="0" fontId="13" fillId="4" borderId="53" xfId="22" applyFont="1" applyFill="1" applyBorder="1" applyAlignment="1">
      <alignment vertical="center"/>
    </xf>
    <xf numFmtId="0" fontId="13" fillId="4" borderId="23" xfId="22" applyFont="1" applyFill="1" applyBorder="1" applyAlignment="1">
      <alignment vertical="center"/>
    </xf>
    <xf numFmtId="40" fontId="13" fillId="4" borderId="44" xfId="32" applyFont="1" applyFill="1" applyBorder="1" applyAlignment="1">
      <alignment vertical="center"/>
    </xf>
    <xf numFmtId="40" fontId="13" fillId="4" borderId="86" xfId="32" applyFont="1" applyFill="1" applyBorder="1" applyAlignment="1">
      <alignment vertical="center"/>
    </xf>
    <xf numFmtId="0" fontId="15" fillId="4" borderId="18" xfId="17" applyFont="1" applyFill="1" applyBorder="1" applyAlignment="1">
      <alignment horizontal="center" vertical="center"/>
      <protection/>
    </xf>
    <xf numFmtId="0" fontId="3" fillId="4" borderId="24" xfId="18" applyFont="1" applyFill="1" applyBorder="1" applyAlignment="1" applyProtection="1">
      <alignment horizontal="center" vertical="center"/>
      <protection/>
    </xf>
    <xf numFmtId="40" fontId="15" fillId="4" borderId="15" xfId="32" applyFont="1" applyFill="1" applyBorder="1" applyAlignment="1">
      <alignment horizontal="center" vertical="center"/>
    </xf>
    <xf numFmtId="40" fontId="15" fillId="4" borderId="16" xfId="32" applyFont="1" applyFill="1" applyBorder="1" applyAlignment="1">
      <alignment horizontal="center" vertical="center"/>
    </xf>
    <xf numFmtId="40" fontId="15" fillId="4" borderId="15" xfId="32" applyNumberFormat="1" applyFont="1" applyFill="1" applyBorder="1" applyAlignment="1" applyProtection="1" quotePrefix="1">
      <alignment horizontal="right" vertical="center"/>
      <protection/>
    </xf>
    <xf numFmtId="40" fontId="15" fillId="4" borderId="15" xfId="32" applyFont="1" applyFill="1" applyBorder="1" applyAlignment="1" applyProtection="1">
      <alignment horizontal="right" vertical="center"/>
      <protection/>
    </xf>
    <xf numFmtId="0" fontId="16" fillId="4" borderId="15" xfId="18" applyFont="1" applyFill="1" applyBorder="1" applyAlignment="1" applyProtection="1">
      <alignment horizontal="center" vertical="center"/>
      <protection/>
    </xf>
    <xf numFmtId="40" fontId="15" fillId="4" borderId="15" xfId="32" applyFont="1" applyFill="1" applyBorder="1" applyAlignment="1" applyProtection="1">
      <alignment horizontal="center" vertical="center"/>
      <protection/>
    </xf>
    <xf numFmtId="40" fontId="22" fillId="4" borderId="16" xfId="32" applyFont="1" applyFill="1" applyBorder="1" applyAlignment="1" applyProtection="1">
      <alignment horizontal="left" vertical="center"/>
      <protection/>
    </xf>
    <xf numFmtId="0" fontId="15" fillId="4" borderId="5" xfId="22" applyFont="1" applyFill="1" applyBorder="1" applyAlignment="1">
      <alignment vertical="center"/>
    </xf>
    <xf numFmtId="0" fontId="15" fillId="4" borderId="15" xfId="18" applyFont="1" applyFill="1" applyBorder="1" applyAlignment="1">
      <alignment horizontal="left" vertical="center"/>
    </xf>
    <xf numFmtId="0" fontId="15" fillId="4" borderId="5" xfId="23" applyFont="1" applyFill="1" applyBorder="1" applyAlignment="1">
      <alignment vertical="center"/>
    </xf>
    <xf numFmtId="0" fontId="13" fillId="4" borderId="42" xfId="22" applyFont="1" applyFill="1" applyBorder="1" applyAlignment="1">
      <alignment horizontal="center" vertical="center"/>
    </xf>
    <xf numFmtId="0" fontId="13" fillId="4" borderId="42" xfId="23" applyFont="1" applyFill="1" applyBorder="1" applyAlignment="1">
      <alignment horizontal="center" vertical="center"/>
    </xf>
    <xf numFmtId="0" fontId="14" fillId="4" borderId="23" xfId="22" applyFont="1" applyFill="1" applyBorder="1" applyAlignment="1">
      <alignment vertical="center"/>
    </xf>
    <xf numFmtId="40" fontId="14" fillId="4" borderId="23" xfId="32" applyFont="1" applyFill="1" applyBorder="1" applyAlignment="1" quotePrefix="1">
      <alignment horizontal="left" vertical="center"/>
    </xf>
    <xf numFmtId="40" fontId="14" fillId="4" borderId="23" xfId="32" applyFont="1" applyFill="1" applyBorder="1" applyAlignment="1">
      <alignment horizontal="right" vertical="center"/>
    </xf>
    <xf numFmtId="40" fontId="14" fillId="4" borderId="23" xfId="32" applyFont="1" applyFill="1" applyBorder="1" applyAlignment="1">
      <alignment horizontal="center" vertical="center"/>
    </xf>
    <xf numFmtId="40" fontId="14" fillId="4" borderId="23" xfId="32" applyFont="1" applyFill="1" applyBorder="1" applyAlignment="1" quotePrefix="1">
      <alignment horizontal="right" vertical="center"/>
    </xf>
    <xf numFmtId="40" fontId="47" fillId="4" borderId="23" xfId="32" applyFont="1" applyFill="1" applyBorder="1" applyAlignment="1" quotePrefix="1">
      <alignment horizontal="right" vertical="center"/>
    </xf>
    <xf numFmtId="0" fontId="14" fillId="4" borderId="23" xfId="22" applyFont="1" applyFill="1" applyBorder="1" applyAlignment="1">
      <alignment horizontal="left" vertical="center"/>
    </xf>
    <xf numFmtId="0" fontId="4" fillId="0" borderId="87" xfId="25" applyFont="1" applyBorder="1" applyAlignment="1" applyProtection="1">
      <alignment horizontal="center" vertical="center"/>
      <protection/>
    </xf>
    <xf numFmtId="0" fontId="12" fillId="0" borderId="0" xfId="25" applyFont="1" applyBorder="1" applyAlignment="1" applyProtection="1">
      <alignment horizontal="center" vertical="center"/>
      <protection/>
    </xf>
    <xf numFmtId="0" fontId="12" fillId="0" borderId="0" xfId="25" applyFont="1" applyBorder="1" applyAlignment="1" applyProtection="1">
      <alignment horizontal="center" vertical="center" wrapText="1"/>
      <protection/>
    </xf>
    <xf numFmtId="201" fontId="5" fillId="0" borderId="71" xfId="25" applyNumberFormat="1" applyFont="1" applyBorder="1" applyAlignment="1" applyProtection="1">
      <alignment horizontal="right" vertical="center"/>
      <protection/>
    </xf>
    <xf numFmtId="0" fontId="4" fillId="0" borderId="88" xfId="25" applyFont="1" applyBorder="1" applyAlignment="1" applyProtection="1">
      <alignment horizontal="right" vertical="center"/>
      <protection/>
    </xf>
    <xf numFmtId="181" fontId="4" fillId="0" borderId="89" xfId="25" applyNumberFormat="1" applyFont="1" applyBorder="1" applyAlignment="1" applyProtection="1">
      <alignment horizontal="left" vertical="center"/>
      <protection/>
    </xf>
    <xf numFmtId="182" fontId="5" fillId="0" borderId="90" xfId="25" applyNumberFormat="1" applyFont="1" applyBorder="1" applyAlignment="1" applyProtection="1" quotePrefix="1">
      <alignment horizontal="right" vertical="center"/>
      <protection/>
    </xf>
    <xf numFmtId="190" fontId="5" fillId="0" borderId="89" xfId="25" applyNumberFormat="1" applyFont="1" applyBorder="1" applyAlignment="1" applyProtection="1">
      <alignment horizontal="right" vertical="center"/>
      <protection/>
    </xf>
    <xf numFmtId="0" fontId="4" fillId="0" borderId="91" xfId="25" applyFont="1" applyBorder="1" applyAlignment="1" applyProtection="1">
      <alignment horizontal="right" vertical="center"/>
      <protection/>
    </xf>
    <xf numFmtId="0" fontId="4" fillId="0" borderId="92" xfId="25" applyFont="1" applyBorder="1" applyAlignment="1" applyProtection="1" quotePrefix="1">
      <alignment horizontal="center" vertical="center"/>
      <protection/>
    </xf>
    <xf numFmtId="181" fontId="4" fillId="0" borderId="92" xfId="25" applyNumberFormat="1" applyFont="1" applyBorder="1" applyAlignment="1" applyProtection="1">
      <alignment horizontal="left" vertical="center"/>
      <protection/>
    </xf>
    <xf numFmtId="0" fontId="12" fillId="0" borderId="69" xfId="25" applyFont="1" applyBorder="1" applyAlignment="1" applyProtection="1">
      <alignment horizontal="center" vertical="center"/>
      <protection/>
    </xf>
    <xf numFmtId="181" fontId="4" fillId="0" borderId="69" xfId="25" applyNumberFormat="1" applyFont="1" applyBorder="1" applyAlignment="1" applyProtection="1">
      <alignment horizontal="left" vertical="center"/>
      <protection/>
    </xf>
    <xf numFmtId="190" fontId="5" fillId="0" borderId="69" xfId="0" applyNumberFormat="1" applyFont="1" applyBorder="1" applyAlignment="1">
      <alignment vertical="center"/>
    </xf>
    <xf numFmtId="190" fontId="5" fillId="0" borderId="69" xfId="25" applyNumberFormat="1" applyFont="1" applyBorder="1" applyAlignment="1" applyProtection="1">
      <alignment horizontal="right" vertical="center"/>
      <protection/>
    </xf>
    <xf numFmtId="201" fontId="5" fillId="0" borderId="69" xfId="25" applyNumberFormat="1" applyFont="1" applyBorder="1" applyAlignment="1" applyProtection="1">
      <alignment horizontal="right" vertical="center"/>
      <protection/>
    </xf>
    <xf numFmtId="0" fontId="51" fillId="0" borderId="0" xfId="25" applyFont="1" applyBorder="1" applyAlignment="1" applyProtection="1">
      <alignment horizontal="center" vertical="center"/>
      <protection/>
    </xf>
    <xf numFmtId="0" fontId="53" fillId="0" borderId="0" xfId="25" applyFont="1" applyBorder="1" applyAlignment="1" applyProtection="1">
      <alignment horizontal="center" vertical="center"/>
      <protection/>
    </xf>
    <xf numFmtId="182" fontId="5" fillId="0" borderId="93" xfId="25" applyNumberFormat="1" applyFont="1" applyBorder="1" applyAlignment="1" applyProtection="1" quotePrefix="1">
      <alignment horizontal="center" vertical="center"/>
      <protection/>
    </xf>
    <xf numFmtId="190" fontId="5" fillId="0" borderId="94" xfId="0" applyNumberFormat="1" applyFont="1" applyBorder="1" applyAlignment="1">
      <alignment vertical="center"/>
    </xf>
    <xf numFmtId="190" fontId="5" fillId="0" borderId="92" xfId="25" applyNumberFormat="1" applyFont="1" applyBorder="1" applyAlignment="1" applyProtection="1">
      <alignment horizontal="right" vertical="center"/>
      <protection/>
    </xf>
    <xf numFmtId="190" fontId="5" fillId="0" borderId="93" xfId="25" applyNumberFormat="1" applyFont="1" applyBorder="1" applyAlignment="1" applyProtection="1">
      <alignment horizontal="right" vertical="center"/>
      <protection/>
    </xf>
    <xf numFmtId="190" fontId="5" fillId="0" borderId="95" xfId="0" applyNumberFormat="1" applyFont="1" applyBorder="1" applyAlignment="1">
      <alignment vertical="center"/>
    </xf>
    <xf numFmtId="190" fontId="5" fillId="0" borderId="96" xfId="0" applyNumberFormat="1" applyFont="1" applyBorder="1" applyAlignment="1">
      <alignment vertical="center"/>
    </xf>
    <xf numFmtId="0" fontId="13" fillId="4" borderId="18" xfId="18" applyFont="1" applyFill="1" applyBorder="1" applyAlignment="1" applyProtection="1">
      <alignment horizontal="center" vertical="center"/>
      <protection/>
    </xf>
    <xf numFmtId="40" fontId="13" fillId="4" borderId="18" xfId="32" applyFont="1" applyFill="1" applyBorder="1" applyAlignment="1">
      <alignment horizontal="center" vertical="center"/>
    </xf>
    <xf numFmtId="0" fontId="13" fillId="4" borderId="24" xfId="18" applyFont="1" applyFill="1" applyBorder="1" applyAlignment="1" applyProtection="1">
      <alignment horizontal="center" vertical="center"/>
      <protection/>
    </xf>
    <xf numFmtId="0" fontId="15" fillId="4" borderId="56" xfId="22" applyFont="1" applyFill="1" applyBorder="1" applyAlignment="1">
      <alignment horizontal="center" vertical="center"/>
    </xf>
    <xf numFmtId="40" fontId="15" fillId="4" borderId="56" xfId="32" applyFont="1" applyFill="1" applyBorder="1" applyAlignment="1">
      <alignment horizontal="center" vertical="center"/>
    </xf>
    <xf numFmtId="40" fontId="15" fillId="4" borderId="97" xfId="32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shrinkToFit="1"/>
    </xf>
    <xf numFmtId="229" fontId="13" fillId="4" borderId="15" xfId="0" applyNumberFormat="1" applyFont="1" applyFill="1" applyBorder="1" applyAlignment="1">
      <alignment/>
    </xf>
    <xf numFmtId="215" fontId="13" fillId="4" borderId="15" xfId="32" applyNumberFormat="1" applyFont="1" applyFill="1" applyBorder="1" applyAlignment="1" applyProtection="1">
      <alignment horizontal="right" vertical="center"/>
      <protection/>
    </xf>
    <xf numFmtId="40" fontId="13" fillId="4" borderId="16" xfId="32" applyFont="1" applyFill="1" applyBorder="1" applyAlignment="1" applyProtection="1">
      <alignment horizontal="center" vertical="center"/>
      <protection/>
    </xf>
    <xf numFmtId="0" fontId="13" fillId="4" borderId="16" xfId="18" applyFont="1" applyFill="1" applyBorder="1" applyAlignment="1" applyProtection="1">
      <alignment horizontal="center" vertical="center"/>
      <protection/>
    </xf>
    <xf numFmtId="0" fontId="13" fillId="4" borderId="16" xfId="18" applyFont="1" applyFill="1" applyBorder="1" applyAlignment="1" applyProtection="1">
      <alignment horizontal="left" vertical="center"/>
      <protection/>
    </xf>
    <xf numFmtId="0" fontId="16" fillId="0" borderId="15" xfId="18" applyFont="1" applyBorder="1" applyAlignment="1" applyProtection="1">
      <alignment horizontal="center" vertical="justify"/>
      <protection/>
    </xf>
    <xf numFmtId="43" fontId="13" fillId="4" borderId="15" xfId="30" applyFont="1" applyFill="1" applyBorder="1" applyAlignment="1">
      <alignment horizontal="centerContinuous" vertical="center"/>
    </xf>
    <xf numFmtId="0" fontId="16" fillId="4" borderId="58" xfId="26" applyFont="1" applyFill="1" applyBorder="1" applyAlignment="1">
      <alignment vertical="center" wrapText="1"/>
      <protection/>
    </xf>
    <xf numFmtId="229" fontId="12" fillId="4" borderId="15" xfId="0" applyNumberFormat="1" applyFont="1" applyFill="1" applyBorder="1" applyAlignment="1">
      <alignment/>
    </xf>
    <xf numFmtId="40" fontId="13" fillId="4" borderId="57" xfId="32" applyFont="1" applyFill="1" applyBorder="1" applyAlignment="1" applyProtection="1">
      <alignment horizontal="right" vertical="center"/>
      <protection/>
    </xf>
    <xf numFmtId="0" fontId="13" fillId="4" borderId="58" xfId="18" applyFont="1" applyFill="1" applyBorder="1" applyAlignment="1" applyProtection="1">
      <alignment horizontal="left" vertical="center"/>
      <protection/>
    </xf>
    <xf numFmtId="40" fontId="15" fillId="4" borderId="5" xfId="32" applyFont="1" applyFill="1" applyBorder="1" applyAlignment="1" applyProtection="1">
      <alignment horizontal="center" vertical="center"/>
      <protection/>
    </xf>
    <xf numFmtId="0" fontId="15" fillId="0" borderId="15" xfId="18" applyFont="1" applyBorder="1" applyAlignment="1" quotePrefix="1">
      <alignment horizontal="center" vertical="center"/>
    </xf>
    <xf numFmtId="0" fontId="13" fillId="4" borderId="46" xfId="23" applyFont="1" applyFill="1" applyBorder="1" applyAlignment="1" quotePrefix="1">
      <alignment horizontal="distributed" vertical="center"/>
    </xf>
    <xf numFmtId="0" fontId="12" fillId="4" borderId="15" xfId="0" applyFont="1" applyFill="1" applyBorder="1" applyAlignment="1">
      <alignment horizontal="center" shrinkToFit="1"/>
    </xf>
    <xf numFmtId="190" fontId="13" fillId="0" borderId="85" xfId="20" applyNumberFormat="1" applyFont="1" applyBorder="1" applyAlignment="1">
      <alignment horizontal="right" vertical="center"/>
      <protection/>
    </xf>
    <xf numFmtId="0" fontId="13" fillId="0" borderId="85" xfId="20" applyFont="1" applyBorder="1" applyAlignment="1">
      <alignment horizontal="right" vertical="center"/>
      <protection/>
    </xf>
    <xf numFmtId="0" fontId="13" fillId="0" borderId="85" xfId="20" applyFont="1" applyBorder="1" applyAlignment="1" quotePrefix="1">
      <alignment horizontal="right" vertical="center"/>
      <protection/>
    </xf>
    <xf numFmtId="190" fontId="28" fillId="0" borderId="70" xfId="25" applyNumberFormat="1" applyFont="1" applyBorder="1" applyAlignment="1" applyProtection="1">
      <alignment horizontal="right" vertical="center"/>
      <protection/>
    </xf>
    <xf numFmtId="190" fontId="28" fillId="0" borderId="71" xfId="25" applyNumberFormat="1" applyFont="1" applyBorder="1" applyAlignment="1" applyProtection="1">
      <alignment horizontal="right" vertical="center"/>
      <protection/>
    </xf>
    <xf numFmtId="190" fontId="28" fillId="0" borderId="98" xfId="0" applyNumberFormat="1" applyFont="1" applyBorder="1" applyAlignment="1">
      <alignment horizontal="right" vertical="center"/>
    </xf>
    <xf numFmtId="199" fontId="28" fillId="0" borderId="71" xfId="25" applyNumberFormat="1" applyFont="1" applyBorder="1" applyAlignment="1" applyProtection="1">
      <alignment horizontal="right" vertical="center"/>
      <protection/>
    </xf>
    <xf numFmtId="40" fontId="15" fillId="4" borderId="5" xfId="32" applyFont="1" applyFill="1" applyBorder="1" applyAlignment="1" applyProtection="1">
      <alignment horizontal="right" vertical="center"/>
      <protection/>
    </xf>
    <xf numFmtId="0" fontId="15" fillId="4" borderId="17" xfId="18" applyFont="1" applyFill="1" applyBorder="1" applyProtection="1">
      <alignment horizontal="left" vertical="center"/>
      <protection/>
    </xf>
    <xf numFmtId="0" fontId="12" fillId="4" borderId="22" xfId="23" applyFont="1" applyFill="1" applyBorder="1" applyAlignment="1" quotePrefix="1">
      <alignment horizontal="left" vertical="center"/>
    </xf>
    <xf numFmtId="0" fontId="12" fillId="4" borderId="5" xfId="23" applyFont="1" applyFill="1" applyBorder="1" applyAlignment="1" quotePrefix="1">
      <alignment horizontal="left" vertical="center"/>
    </xf>
    <xf numFmtId="0" fontId="26" fillId="4" borderId="5" xfId="23" applyFont="1" applyFill="1" applyBorder="1" applyAlignment="1">
      <alignment horizontal="center" vertical="center"/>
    </xf>
    <xf numFmtId="40" fontId="26" fillId="4" borderId="5" xfId="32" applyFont="1" applyFill="1" applyBorder="1" applyAlignment="1">
      <alignment horizontal="left" vertical="center"/>
    </xf>
    <xf numFmtId="40" fontId="26" fillId="4" borderId="5" xfId="32" applyFont="1" applyFill="1" applyBorder="1" applyAlignment="1">
      <alignment horizontal="right" vertical="center"/>
    </xf>
    <xf numFmtId="40" fontId="15" fillId="4" borderId="5" xfId="32" applyFont="1" applyFill="1" applyBorder="1" applyProtection="1">
      <alignment horizontal="right" vertical="center"/>
      <protection/>
    </xf>
    <xf numFmtId="40" fontId="15" fillId="4" borderId="17" xfId="32" applyFont="1" applyFill="1" applyBorder="1" applyAlignment="1" applyProtection="1">
      <alignment horizontal="left" vertical="center"/>
      <protection/>
    </xf>
    <xf numFmtId="40" fontId="15" fillId="4" borderId="5" xfId="32" applyFont="1" applyFill="1" applyBorder="1" applyAlignment="1">
      <alignment horizontal="center" vertical="center"/>
    </xf>
    <xf numFmtId="40" fontId="15" fillId="4" borderId="17" xfId="32" applyFont="1" applyFill="1" applyBorder="1" applyAlignment="1">
      <alignment horizontal="center" vertical="center"/>
    </xf>
    <xf numFmtId="0" fontId="12" fillId="4" borderId="22" xfId="0" applyFont="1" applyFill="1" applyBorder="1" applyAlignment="1" quotePrefix="1">
      <alignment horizontal="left" vertical="center"/>
    </xf>
    <xf numFmtId="0" fontId="15" fillId="4" borderId="5" xfId="22" applyFont="1" applyFill="1" applyBorder="1" applyAlignment="1">
      <alignment horizontal="center" vertical="center"/>
    </xf>
    <xf numFmtId="40" fontId="15" fillId="4" borderId="5" xfId="32" applyFont="1" applyFill="1" applyBorder="1" applyAlignment="1">
      <alignment vertical="center"/>
    </xf>
    <xf numFmtId="0" fontId="44" fillId="4" borderId="22" xfId="22" applyFont="1" applyFill="1" applyBorder="1" applyAlignment="1" quotePrefix="1">
      <alignment horizontal="left" vertical="center"/>
    </xf>
    <xf numFmtId="0" fontId="44" fillId="4" borderId="5" xfId="22" applyFont="1" applyFill="1" applyBorder="1" applyAlignment="1">
      <alignment vertical="center"/>
    </xf>
    <xf numFmtId="0" fontId="56" fillId="4" borderId="5" xfId="22" applyFont="1" applyFill="1" applyBorder="1" applyAlignment="1">
      <alignment horizontal="center" vertical="center"/>
    </xf>
    <xf numFmtId="40" fontId="56" fillId="4" borderId="5" xfId="32" applyFont="1" applyFill="1" applyBorder="1" applyAlignment="1">
      <alignment horizontal="left" vertical="center"/>
    </xf>
    <xf numFmtId="40" fontId="56" fillId="4" borderId="5" xfId="32" applyFont="1" applyFill="1" applyBorder="1" applyAlignment="1">
      <alignment horizontal="right" vertical="center"/>
    </xf>
    <xf numFmtId="40" fontId="44" fillId="4" borderId="5" xfId="32" applyFont="1" applyFill="1" applyBorder="1" applyAlignment="1">
      <alignment vertical="center"/>
    </xf>
    <xf numFmtId="40" fontId="44" fillId="4" borderId="17" xfId="32" applyFont="1" applyFill="1" applyBorder="1" applyAlignment="1">
      <alignment vertical="center"/>
    </xf>
    <xf numFmtId="0" fontId="44" fillId="4" borderId="22" xfId="23" applyFont="1" applyFill="1" applyBorder="1" applyAlignment="1">
      <alignment vertical="center"/>
    </xf>
    <xf numFmtId="0" fontId="44" fillId="4" borderId="22" xfId="23" applyFont="1" applyFill="1" applyBorder="1" applyAlignment="1" quotePrefix="1">
      <alignment horizontal="left" vertical="center"/>
    </xf>
    <xf numFmtId="0" fontId="44" fillId="4" borderId="5" xfId="23" applyFont="1" applyFill="1" applyBorder="1" applyAlignment="1">
      <alignment vertical="center"/>
    </xf>
    <xf numFmtId="0" fontId="56" fillId="4" borderId="5" xfId="23" applyFont="1" applyFill="1" applyBorder="1" applyAlignment="1">
      <alignment horizontal="center" vertical="center"/>
    </xf>
    <xf numFmtId="40" fontId="44" fillId="4" borderId="5" xfId="32" applyFont="1" applyFill="1" applyBorder="1" applyAlignment="1" applyProtection="1">
      <alignment horizontal="right" vertical="center"/>
      <protection/>
    </xf>
    <xf numFmtId="40" fontId="44" fillId="4" borderId="17" xfId="32" applyFont="1" applyFill="1" applyBorder="1" applyAlignment="1" applyProtection="1">
      <alignment horizontal="left" vertical="center"/>
      <protection/>
    </xf>
    <xf numFmtId="0" fontId="44" fillId="4" borderId="5" xfId="23" applyFont="1" applyFill="1" applyBorder="1" applyAlignment="1" quotePrefix="1">
      <alignment horizontal="left" vertical="center"/>
    </xf>
    <xf numFmtId="4" fontId="44" fillId="4" borderId="22" xfId="21" applyNumberFormat="1" applyFont="1" applyFill="1" applyBorder="1" applyAlignment="1" quotePrefix="1">
      <alignment horizontal="left" vertical="center"/>
      <protection/>
    </xf>
    <xf numFmtId="4" fontId="44" fillId="4" borderId="5" xfId="21" applyNumberFormat="1" applyFont="1" applyFill="1" applyBorder="1" applyAlignment="1">
      <alignment vertical="center"/>
      <protection/>
    </xf>
    <xf numFmtId="40" fontId="45" fillId="4" borderId="5" xfId="32" applyFont="1" applyFill="1" applyBorder="1" applyProtection="1">
      <alignment horizontal="right" vertical="center"/>
      <protection/>
    </xf>
    <xf numFmtId="40" fontId="45" fillId="4" borderId="17" xfId="32" applyFont="1" applyFill="1" applyBorder="1" applyAlignment="1" applyProtection="1">
      <alignment horizontal="left" vertical="center"/>
      <protection/>
    </xf>
    <xf numFmtId="0" fontId="45" fillId="4" borderId="17" xfId="18" applyFont="1" applyFill="1" applyBorder="1" applyAlignment="1" applyProtection="1">
      <alignment horizontal="left" vertical="center"/>
      <protection/>
    </xf>
    <xf numFmtId="40" fontId="45" fillId="4" borderId="5" xfId="32" applyFont="1" applyFill="1" applyBorder="1" applyAlignment="1" applyProtection="1">
      <alignment horizontal="right" vertical="center"/>
      <protection/>
    </xf>
    <xf numFmtId="0" fontId="45" fillId="4" borderId="17" xfId="18" applyFont="1" applyFill="1" applyBorder="1" applyProtection="1">
      <alignment horizontal="left" vertical="center"/>
      <protection/>
    </xf>
    <xf numFmtId="4" fontId="37" fillId="4" borderId="22" xfId="21" applyNumberFormat="1" applyFont="1" applyFill="1" applyBorder="1" applyAlignment="1" quotePrefix="1">
      <alignment horizontal="left" vertical="center"/>
      <protection/>
    </xf>
    <xf numFmtId="40" fontId="45" fillId="4" borderId="5" xfId="32" applyFont="1" applyFill="1" applyBorder="1" applyAlignment="1">
      <alignment vertical="center"/>
    </xf>
    <xf numFmtId="0" fontId="45" fillId="4" borderId="5" xfId="22" applyFont="1" applyFill="1" applyBorder="1" applyAlignment="1">
      <alignment vertical="center"/>
    </xf>
    <xf numFmtId="0" fontId="45" fillId="4" borderId="5" xfId="18" applyFont="1" applyFill="1" applyBorder="1" applyProtection="1">
      <alignment horizontal="left" vertical="center"/>
      <protection/>
    </xf>
    <xf numFmtId="40" fontId="45" fillId="4" borderId="5" xfId="32" applyFont="1" applyFill="1" applyBorder="1" applyAlignment="1" applyProtection="1">
      <alignment horizontal="center" vertical="center"/>
      <protection/>
    </xf>
    <xf numFmtId="40" fontId="45" fillId="4" borderId="5" xfId="32" applyFont="1" applyFill="1" applyBorder="1" applyProtection="1" quotePrefix="1">
      <alignment horizontal="right" vertical="center"/>
      <protection/>
    </xf>
    <xf numFmtId="0" fontId="45" fillId="4" borderId="5" xfId="23" applyFont="1" applyFill="1" applyBorder="1" applyAlignment="1">
      <alignment vertical="center"/>
    </xf>
    <xf numFmtId="0" fontId="12" fillId="4" borderId="5" xfId="22" applyFont="1" applyFill="1" applyBorder="1" applyAlignment="1">
      <alignment/>
    </xf>
    <xf numFmtId="40" fontId="16" fillId="4" borderId="17" xfId="32" applyFont="1" applyFill="1" applyBorder="1" applyAlignment="1" applyProtection="1">
      <alignment horizontal="left" vertical="center" wrapText="1"/>
      <protection/>
    </xf>
    <xf numFmtId="0" fontId="15" fillId="4" borderId="5" xfId="17" applyFont="1" applyFill="1" applyBorder="1" applyAlignment="1">
      <alignment horizontal="center" vertical="center"/>
      <protection/>
    </xf>
    <xf numFmtId="40" fontId="15" fillId="4" borderId="5" xfId="32" applyNumberFormat="1" applyFont="1" applyFill="1" applyBorder="1" applyProtection="1">
      <alignment horizontal="right" vertical="center"/>
      <protection/>
    </xf>
    <xf numFmtId="40" fontId="15" fillId="0" borderId="20" xfId="32" applyFont="1" applyBorder="1" applyProtection="1">
      <alignment horizontal="right" vertical="center"/>
      <protection/>
    </xf>
    <xf numFmtId="4" fontId="4" fillId="0" borderId="22" xfId="29" applyNumberFormat="1" applyFont="1" applyBorder="1" applyAlignment="1" quotePrefix="1">
      <alignment horizontal="left"/>
      <protection/>
    </xf>
    <xf numFmtId="0" fontId="44" fillId="4" borderId="22" xfId="0" applyFont="1" applyFill="1" applyBorder="1" applyAlignment="1" quotePrefix="1">
      <alignment horizontal="left"/>
    </xf>
    <xf numFmtId="0" fontId="45" fillId="4" borderId="5" xfId="18" applyFont="1" applyFill="1" applyBorder="1" applyAlignment="1" applyProtection="1">
      <alignment horizontal="justify" vertical="center" wrapText="1"/>
      <protection/>
    </xf>
    <xf numFmtId="0" fontId="45" fillId="4" borderId="5" xfId="17" applyFont="1" applyFill="1" applyBorder="1" applyAlignment="1">
      <alignment horizontal="center" vertical="center"/>
      <protection/>
    </xf>
    <xf numFmtId="40" fontId="45" fillId="4" borderId="5" xfId="32" applyNumberFormat="1" applyFont="1" applyFill="1" applyBorder="1" applyProtection="1">
      <alignment horizontal="right" vertical="center"/>
      <protection/>
    </xf>
    <xf numFmtId="40" fontId="40" fillId="4" borderId="17" xfId="32" applyFont="1" applyFill="1" applyBorder="1" applyAlignment="1" applyProtection="1">
      <alignment horizontal="left" vertical="center" wrapText="1"/>
      <protection/>
    </xf>
    <xf numFmtId="0" fontId="45" fillId="4" borderId="5" xfId="22" applyFont="1" applyFill="1" applyBorder="1" applyAlignment="1">
      <alignment horizontal="center" vertical="center"/>
    </xf>
    <xf numFmtId="4" fontId="44" fillId="4" borderId="17" xfId="27" applyNumberFormat="1" applyFont="1" applyFill="1" applyBorder="1">
      <alignment/>
      <protection/>
    </xf>
    <xf numFmtId="4" fontId="39" fillId="0" borderId="15" xfId="0" applyNumberFormat="1" applyFont="1" applyBorder="1" applyAlignment="1" quotePrefix="1">
      <alignment horizontal="center" vertical="center" wrapText="1"/>
    </xf>
    <xf numFmtId="201" fontId="5" fillId="0" borderId="70" xfId="25" applyNumberFormat="1" applyFont="1" applyBorder="1" applyAlignment="1" applyProtection="1">
      <alignment horizontal="right" vertical="center"/>
      <protection/>
    </xf>
    <xf numFmtId="0" fontId="37" fillId="0" borderId="68" xfId="25" applyFont="1" applyBorder="1" applyAlignment="1" applyProtection="1">
      <alignment horizontal="right" vertical="center"/>
      <protection/>
    </xf>
    <xf numFmtId="0" fontId="61" fillId="0" borderId="69" xfId="0" applyFont="1" applyBorder="1" applyAlignment="1">
      <alignment vertical="center"/>
    </xf>
    <xf numFmtId="181" fontId="39" fillId="0" borderId="69" xfId="25" applyNumberFormat="1" applyFont="1" applyBorder="1" applyAlignment="1" applyProtection="1" quotePrefix="1">
      <alignment horizontal="left" vertical="center"/>
      <protection/>
    </xf>
    <xf numFmtId="0" fontId="44" fillId="0" borderId="76" xfId="25" applyFont="1" applyBorder="1" applyAlignment="1" applyProtection="1">
      <alignment horizontal="centerContinuous" vertical="center"/>
      <protection/>
    </xf>
    <xf numFmtId="0" fontId="37" fillId="0" borderId="76" xfId="25" applyFont="1" applyBorder="1" applyAlignment="1" applyProtection="1">
      <alignment horizontal="centerContinuous" vertical="center"/>
      <protection/>
    </xf>
    <xf numFmtId="0" fontId="37" fillId="0" borderId="77" xfId="25" applyFont="1" applyBorder="1" applyAlignment="1" applyProtection="1">
      <alignment horizontal="centerContinuous" vertical="center"/>
      <protection/>
    </xf>
    <xf numFmtId="182" fontId="46" fillId="0" borderId="90" xfId="25" applyNumberFormat="1" applyFont="1" applyBorder="1" applyAlignment="1" applyProtection="1">
      <alignment horizontal="centerContinuous" vertical="center"/>
      <protection/>
    </xf>
    <xf numFmtId="184" fontId="46" fillId="0" borderId="89" xfId="25" applyNumberFormat="1" applyFont="1" applyBorder="1" applyAlignment="1" applyProtection="1">
      <alignment horizontal="right" vertical="center"/>
      <protection/>
    </xf>
    <xf numFmtId="4" fontId="46" fillId="0" borderId="89" xfId="25" applyNumberFormat="1" applyFont="1" applyBorder="1" applyAlignment="1" applyProtection="1">
      <alignment horizontal="right" vertical="center"/>
      <protection/>
    </xf>
    <xf numFmtId="4" fontId="46" fillId="0" borderId="99" xfId="25" applyNumberFormat="1" applyFont="1" applyBorder="1" applyAlignment="1" applyProtection="1">
      <alignment horizontal="right" vertical="center"/>
      <protection/>
    </xf>
    <xf numFmtId="38" fontId="13" fillId="0" borderId="15" xfId="20" applyNumberFormat="1" applyFont="1" applyBorder="1" applyAlignment="1">
      <alignment vertical="center"/>
      <protection/>
    </xf>
    <xf numFmtId="4" fontId="39" fillId="0" borderId="46" xfId="19" applyNumberFormat="1" applyFont="1" applyBorder="1" applyAlignment="1">
      <alignment horizontal="distributed" vertical="center"/>
      <protection/>
    </xf>
    <xf numFmtId="4" fontId="39" fillId="0" borderId="15" xfId="19" applyNumberFormat="1" applyFont="1" applyBorder="1" applyAlignment="1">
      <alignment horizontal="center" vertical="center" wrapText="1"/>
      <protection/>
    </xf>
    <xf numFmtId="4" fontId="39" fillId="0" borderId="15" xfId="19" applyNumberFormat="1" applyFont="1" applyBorder="1" applyAlignment="1">
      <alignment horizontal="center" vertical="center"/>
      <protection/>
    </xf>
    <xf numFmtId="4" fontId="39" fillId="0" borderId="15" xfId="19" applyNumberFormat="1" applyFont="1" applyBorder="1" applyAlignment="1">
      <alignment vertical="center"/>
      <protection/>
    </xf>
    <xf numFmtId="4" fontId="46" fillId="0" borderId="15" xfId="19" applyNumberFormat="1" applyFont="1" applyBorder="1" applyAlignment="1">
      <alignment vertical="center"/>
      <protection/>
    </xf>
    <xf numFmtId="4" fontId="40" fillId="0" borderId="16" xfId="19" applyNumberFormat="1" applyFont="1" applyBorder="1" applyAlignment="1">
      <alignment vertical="center"/>
      <protection/>
    </xf>
    <xf numFmtId="4" fontId="39" fillId="0" borderId="46" xfId="19" applyNumberFormat="1" applyFont="1" applyBorder="1" applyAlignment="1" quotePrefix="1">
      <alignment horizontal="distributed" vertical="center"/>
      <protection/>
    </xf>
    <xf numFmtId="4" fontId="40" fillId="4" borderId="15" xfId="19" applyNumberFormat="1" applyFont="1" applyFill="1" applyBorder="1" applyAlignment="1">
      <alignment horizontal="center" vertical="center"/>
      <protection/>
    </xf>
    <xf numFmtId="4" fontId="39" fillId="0" borderId="15" xfId="19" applyNumberFormat="1" applyFont="1" applyBorder="1" applyAlignment="1" quotePrefix="1">
      <alignment horizontal="right" vertical="center"/>
      <protection/>
    </xf>
    <xf numFmtId="4" fontId="40" fillId="0" borderId="15" xfId="19" applyNumberFormat="1" applyFont="1" applyBorder="1" applyAlignment="1">
      <alignment horizontal="center" vertical="center"/>
      <protection/>
    </xf>
    <xf numFmtId="4" fontId="40" fillId="0" borderId="15" xfId="19" applyNumberFormat="1" applyFont="1" applyBorder="1" applyAlignment="1">
      <alignment horizontal="center" vertical="center" wrapText="1"/>
      <protection/>
    </xf>
    <xf numFmtId="0" fontId="16" fillId="0" borderId="85" xfId="0" applyFont="1" applyBorder="1" applyAlignment="1" applyProtection="1">
      <alignment horizontal="center" vertical="center"/>
      <protection/>
    </xf>
    <xf numFmtId="4" fontId="12" fillId="4" borderId="0" xfId="19" applyNumberFormat="1" applyFont="1" applyFill="1" applyAlignment="1">
      <alignment vertical="center" wrapText="1"/>
      <protection/>
    </xf>
    <xf numFmtId="4" fontId="46" fillId="0" borderId="44" xfId="0" applyNumberFormat="1" applyFont="1" applyBorder="1" applyAlignment="1">
      <alignment horizontal="center" vertical="center"/>
    </xf>
    <xf numFmtId="191" fontId="39" fillId="0" borderId="44" xfId="0" applyNumberFormat="1" applyFont="1" applyBorder="1" applyAlignment="1">
      <alignment horizontal="right" vertical="center"/>
    </xf>
    <xf numFmtId="4" fontId="49" fillId="0" borderId="15" xfId="0" applyNumberFormat="1" applyFont="1" applyBorder="1" applyAlignment="1">
      <alignment horizontal="center" vertical="center"/>
    </xf>
    <xf numFmtId="0" fontId="4" fillId="0" borderId="68" xfId="25" applyFont="1" applyBorder="1" applyAlignment="1" applyProtection="1">
      <alignment horizontal="center" vertical="center"/>
      <protection/>
    </xf>
    <xf numFmtId="0" fontId="12" fillId="0" borderId="70" xfId="25" applyFont="1" applyBorder="1" applyAlignment="1" applyProtection="1">
      <alignment horizontal="center" vertical="center"/>
      <protection/>
    </xf>
    <xf numFmtId="0" fontId="12" fillId="0" borderId="70" xfId="25" applyFont="1" applyBorder="1" applyAlignment="1" applyProtection="1">
      <alignment horizontal="center" vertical="center" wrapText="1"/>
      <protection/>
    </xf>
    <xf numFmtId="0" fontId="12" fillId="0" borderId="71" xfId="25" applyFont="1" applyBorder="1" applyAlignment="1" applyProtection="1">
      <alignment horizontal="center" vertical="center"/>
      <protection/>
    </xf>
    <xf numFmtId="0" fontId="51" fillId="0" borderId="100" xfId="25" applyFont="1" applyBorder="1" applyAlignment="1" applyProtection="1">
      <alignment horizontal="center" vertical="center"/>
      <protection/>
    </xf>
    <xf numFmtId="0" fontId="12" fillId="0" borderId="101" xfId="25" applyFont="1" applyBorder="1" applyAlignment="1" applyProtection="1">
      <alignment horizontal="center" vertical="center"/>
      <protection/>
    </xf>
    <xf numFmtId="0" fontId="53" fillId="0" borderId="102" xfId="25" applyFont="1" applyBorder="1" applyAlignment="1" applyProtection="1">
      <alignment horizontal="center" vertical="center"/>
      <protection/>
    </xf>
    <xf numFmtId="190" fontId="5" fillId="0" borderId="75" xfId="0" applyNumberFormat="1" applyFont="1" applyBorder="1" applyAlignment="1">
      <alignment vertical="center"/>
    </xf>
    <xf numFmtId="201" fontId="16" fillId="4" borderId="85" xfId="0" applyNumberFormat="1" applyFont="1" applyFill="1" applyBorder="1" applyAlignment="1" applyProtection="1" quotePrefix="1">
      <alignment horizontal="center" vertical="top"/>
      <protection/>
    </xf>
    <xf numFmtId="4" fontId="40" fillId="4" borderId="46" xfId="0" applyNumberFormat="1" applyFont="1" applyFill="1" applyBorder="1" applyAlignment="1" quotePrefix="1">
      <alignment horizontal="distributed" vertical="center"/>
    </xf>
    <xf numFmtId="0" fontId="12" fillId="4" borderId="22" xfId="15" applyFont="1" applyFill="1" applyBorder="1" applyAlignment="1" quotePrefix="1">
      <alignment horizontal="left" vertical="center"/>
      <protection/>
    </xf>
    <xf numFmtId="40" fontId="13" fillId="4" borderId="16" xfId="32" applyFont="1" applyFill="1" applyBorder="1" applyAlignment="1" quotePrefix="1">
      <alignment horizontal="left" vertical="center"/>
    </xf>
    <xf numFmtId="40" fontId="13" fillId="4" borderId="23" xfId="32" applyFont="1" applyFill="1" applyBorder="1" applyAlignment="1" quotePrefix="1">
      <alignment horizontal="left" vertical="center"/>
    </xf>
    <xf numFmtId="40" fontId="13" fillId="4" borderId="23" xfId="32" applyFont="1" applyFill="1" applyBorder="1" applyAlignment="1">
      <alignment horizontal="right" vertical="center"/>
    </xf>
    <xf numFmtId="0" fontId="13" fillId="4" borderId="20" xfId="22" applyFont="1" applyFill="1" applyBorder="1" applyAlignment="1">
      <alignment horizontal="centerContinuous" vertical="center"/>
    </xf>
    <xf numFmtId="40" fontId="13" fillId="4" borderId="20" xfId="32" applyFont="1" applyFill="1" applyBorder="1" applyAlignment="1">
      <alignment horizontal="centerContinuous" vertical="center"/>
    </xf>
    <xf numFmtId="40" fontId="13" fillId="4" borderId="103" xfId="32" applyFont="1" applyFill="1" applyBorder="1" applyAlignment="1">
      <alignment horizontal="centerContinuous" vertical="center"/>
    </xf>
    <xf numFmtId="0" fontId="13" fillId="4" borderId="15" xfId="22" applyFont="1" applyFill="1" applyBorder="1" applyAlignment="1">
      <alignment horizontal="center" vertical="center"/>
    </xf>
    <xf numFmtId="0" fontId="13" fillId="4" borderId="22" xfId="15" applyFont="1" applyFill="1" applyBorder="1">
      <alignment horizontal="left" vertical="center"/>
      <protection/>
    </xf>
    <xf numFmtId="0" fontId="13" fillId="4" borderId="5" xfId="22" applyFont="1" applyFill="1" applyBorder="1" applyAlignment="1">
      <alignment vertical="center"/>
    </xf>
    <xf numFmtId="0" fontId="27" fillId="0" borderId="15" xfId="18" applyFont="1" applyBorder="1" applyAlignment="1" applyProtection="1">
      <alignment horizontal="center" vertical="center" wrapText="1"/>
      <protection/>
    </xf>
    <xf numFmtId="40" fontId="5" fillId="0" borderId="15" xfId="32" applyFont="1" applyBorder="1" applyAlignment="1">
      <alignment horizontal="center" vertical="center"/>
    </xf>
    <xf numFmtId="40" fontId="15" fillId="0" borderId="15" xfId="32" applyNumberFormat="1" applyFont="1" applyBorder="1" applyAlignment="1" applyProtection="1" quotePrefix="1">
      <alignment horizontal="right" vertical="center"/>
      <protection/>
    </xf>
    <xf numFmtId="40" fontId="13" fillId="4" borderId="15" xfId="32" applyFont="1" applyFill="1" applyBorder="1" applyProtection="1">
      <alignment horizontal="right" vertical="center"/>
      <protection/>
    </xf>
    <xf numFmtId="0" fontId="13" fillId="4" borderId="15" xfId="18" applyFont="1" applyFill="1" applyBorder="1" applyAlignment="1" applyProtection="1">
      <alignment horizontal="center" vertical="center"/>
      <protection/>
    </xf>
    <xf numFmtId="0" fontId="13" fillId="4" borderId="15" xfId="18" applyFont="1" applyFill="1" applyBorder="1" applyAlignment="1">
      <alignment horizontal="center" vertical="center"/>
    </xf>
    <xf numFmtId="0" fontId="13" fillId="4" borderId="15" xfId="18" applyFont="1" applyFill="1" applyBorder="1">
      <alignment horizontal="left" vertical="center"/>
    </xf>
    <xf numFmtId="40" fontId="15" fillId="0" borderId="15" xfId="32" applyFont="1" applyBorder="1" applyAlignment="1" applyProtection="1" quotePrefix="1">
      <alignment horizontal="right" vertical="center"/>
      <protection/>
    </xf>
    <xf numFmtId="40" fontId="13" fillId="4" borderId="25" xfId="32" applyFont="1" applyFill="1" applyBorder="1" applyAlignment="1">
      <alignment vertical="center"/>
    </xf>
    <xf numFmtId="40" fontId="13" fillId="4" borderId="15" xfId="32" applyFont="1" applyFill="1" applyBorder="1" applyProtection="1" quotePrefix="1">
      <alignment horizontal="right" vertical="center"/>
      <protection/>
    </xf>
    <xf numFmtId="40" fontId="15" fillId="0" borderId="15" xfId="32" applyFont="1" applyBorder="1" applyProtection="1">
      <alignment horizontal="right" vertical="center"/>
      <protection/>
    </xf>
    <xf numFmtId="0" fontId="16" fillId="0" borderId="15" xfId="18" applyFont="1" applyBorder="1" applyAlignment="1">
      <alignment horizontal="center" vertical="center"/>
    </xf>
    <xf numFmtId="190" fontId="5" fillId="0" borderId="70" xfId="0" applyNumberFormat="1" applyFont="1" applyBorder="1" applyAlignment="1">
      <alignment vertical="center"/>
    </xf>
    <xf numFmtId="190" fontId="5" fillId="0" borderId="92" xfId="0" applyNumberFormat="1" applyFont="1" applyBorder="1" applyAlignment="1">
      <alignment vertical="center"/>
    </xf>
    <xf numFmtId="190" fontId="28" fillId="0" borderId="104" xfId="0" applyNumberFormat="1" applyFont="1" applyBorder="1" applyAlignment="1">
      <alignment vertical="center"/>
    </xf>
    <xf numFmtId="190" fontId="28" fillId="0" borderId="105" xfId="0" applyNumberFormat="1" applyFont="1" applyBorder="1" applyAlignment="1">
      <alignment vertical="center"/>
    </xf>
    <xf numFmtId="0" fontId="53" fillId="0" borderId="101" xfId="25" applyFont="1" applyBorder="1" applyAlignment="1" applyProtection="1">
      <alignment horizontal="center" vertical="center"/>
      <protection/>
    </xf>
    <xf numFmtId="190" fontId="28" fillId="0" borderId="71" xfId="0" applyNumberFormat="1" applyFont="1" applyBorder="1" applyAlignment="1">
      <alignment horizontal="right" vertical="center"/>
    </xf>
    <xf numFmtId="201" fontId="5" fillId="0" borderId="70" xfId="25" applyNumberFormat="1" applyFont="1" applyBorder="1" applyAlignment="1" applyProtection="1">
      <alignment horizontal="center" vertical="center"/>
      <protection/>
    </xf>
    <xf numFmtId="201" fontId="5" fillId="0" borderId="69" xfId="25" applyNumberFormat="1" applyFont="1" applyBorder="1" applyAlignment="1" applyProtection="1">
      <alignment vertical="center"/>
      <protection/>
    </xf>
    <xf numFmtId="0" fontId="12" fillId="0" borderId="20" xfId="23" applyFont="1" applyBorder="1" applyAlignment="1" quotePrefix="1">
      <alignment horizontal="left" vertical="center"/>
    </xf>
    <xf numFmtId="0" fontId="15" fillId="0" borderId="20" xfId="23" applyFont="1" applyBorder="1" applyAlignment="1">
      <alignment vertical="center"/>
    </xf>
    <xf numFmtId="0" fontId="26" fillId="0" borderId="20" xfId="23" applyFont="1" applyBorder="1" applyAlignment="1">
      <alignment horizontal="center" vertical="center"/>
    </xf>
    <xf numFmtId="40" fontId="26" fillId="0" borderId="20" xfId="32" applyFont="1" applyBorder="1" applyAlignment="1">
      <alignment horizontal="left" vertical="center"/>
    </xf>
    <xf numFmtId="40" fontId="26" fillId="0" borderId="20" xfId="32" applyFont="1" applyBorder="1" applyAlignment="1">
      <alignment horizontal="right" vertical="center"/>
    </xf>
    <xf numFmtId="40" fontId="15" fillId="0" borderId="21" xfId="32" applyFont="1" applyBorder="1" applyAlignment="1" applyProtection="1">
      <alignment horizontal="left" vertical="center"/>
      <protection/>
    </xf>
    <xf numFmtId="0" fontId="12" fillId="0" borderId="5" xfId="24" applyFont="1" applyBorder="1" applyAlignment="1">
      <alignment/>
    </xf>
    <xf numFmtId="0" fontId="12" fillId="0" borderId="53" xfId="23" applyFont="1" applyBorder="1" applyAlignment="1" quotePrefix="1">
      <alignment horizontal="left" vertical="center"/>
    </xf>
    <xf numFmtId="4" fontId="12" fillId="0" borderId="23" xfId="21" applyNumberFormat="1" applyFont="1" applyBorder="1">
      <alignment/>
      <protection/>
    </xf>
    <xf numFmtId="40" fontId="15" fillId="0" borderId="23" xfId="32" applyFont="1" applyBorder="1" applyProtection="1" quotePrefix="1">
      <alignment horizontal="right" vertical="center"/>
      <protection/>
    </xf>
    <xf numFmtId="40" fontId="18" fillId="0" borderId="106" xfId="32" applyFont="1" applyBorder="1" applyAlignment="1" applyProtection="1">
      <alignment horizontal="left" vertical="center" wrapText="1"/>
      <protection/>
    </xf>
    <xf numFmtId="0" fontId="44" fillId="4" borderId="22" xfId="15" applyFont="1" applyFill="1" applyBorder="1" applyAlignment="1" quotePrefix="1">
      <alignment horizontal="left" vertical="center"/>
      <protection/>
    </xf>
    <xf numFmtId="0" fontId="45" fillId="4" borderId="5" xfId="22" applyFont="1" applyFill="1" applyBorder="1" applyAlignment="1" applyProtection="1">
      <alignment horizontal="left" vertical="center"/>
      <protection/>
    </xf>
    <xf numFmtId="0" fontId="44" fillId="4" borderId="53" xfId="23" applyFont="1" applyFill="1" applyBorder="1" applyAlignment="1">
      <alignment vertical="center"/>
    </xf>
    <xf numFmtId="0" fontId="44" fillId="4" borderId="23" xfId="23" applyFont="1" applyFill="1" applyBorder="1" applyAlignment="1" quotePrefix="1">
      <alignment horizontal="left" vertical="center"/>
    </xf>
    <xf numFmtId="40" fontId="44" fillId="4" borderId="23" xfId="32" applyFont="1" applyFill="1" applyBorder="1" applyAlignment="1" applyProtection="1">
      <alignment horizontal="center" vertical="center"/>
      <protection/>
    </xf>
    <xf numFmtId="40" fontId="44" fillId="4" borderId="23" xfId="32" applyFont="1" applyFill="1" applyBorder="1" applyAlignment="1" applyProtection="1" quotePrefix="1">
      <alignment horizontal="right" vertical="center"/>
      <protection/>
    </xf>
    <xf numFmtId="40" fontId="44" fillId="4" borderId="23" xfId="32" applyFont="1" applyFill="1" applyBorder="1" applyAlignment="1" applyProtection="1">
      <alignment horizontal="right" vertical="center"/>
      <protection/>
    </xf>
    <xf numFmtId="0" fontId="44" fillId="4" borderId="106" xfId="22" applyFont="1" applyFill="1" applyBorder="1" applyAlignment="1">
      <alignment vertical="center"/>
    </xf>
    <xf numFmtId="0" fontId="44" fillId="4" borderId="19" xfId="0" applyFont="1" applyFill="1" applyBorder="1" applyAlignment="1" quotePrefix="1">
      <alignment horizontal="left"/>
    </xf>
    <xf numFmtId="0" fontId="45" fillId="4" borderId="20" xfId="22" applyFont="1" applyFill="1" applyBorder="1" applyAlignment="1">
      <alignment vertical="center"/>
    </xf>
    <xf numFmtId="0" fontId="45" fillId="4" borderId="20" xfId="18" applyFont="1" applyFill="1" applyBorder="1" applyAlignment="1" applyProtection="1">
      <alignment horizontal="justify" vertical="center" wrapText="1"/>
      <protection/>
    </xf>
    <xf numFmtId="0" fontId="45" fillId="4" borderId="20" xfId="17" applyFont="1" applyFill="1" applyBorder="1" applyAlignment="1">
      <alignment horizontal="center" vertical="center"/>
      <protection/>
    </xf>
    <xf numFmtId="40" fontId="45" fillId="4" borderId="20" xfId="32" applyNumberFormat="1" applyFont="1" applyFill="1" applyBorder="1" applyProtection="1">
      <alignment horizontal="right" vertical="center"/>
      <protection/>
    </xf>
    <xf numFmtId="40" fontId="45" fillId="4" borderId="20" xfId="32" applyFont="1" applyFill="1" applyBorder="1" applyProtection="1">
      <alignment horizontal="right" vertical="center"/>
      <protection/>
    </xf>
    <xf numFmtId="40" fontId="40" fillId="4" borderId="21" xfId="32" applyFont="1" applyFill="1" applyBorder="1" applyAlignment="1" applyProtection="1">
      <alignment horizontal="left" vertical="center" wrapText="1"/>
      <protection/>
    </xf>
    <xf numFmtId="40" fontId="45" fillId="4" borderId="5" xfId="32" applyFont="1" applyFill="1" applyBorder="1" applyAlignment="1" applyProtection="1">
      <alignment horizontal="left" vertical="center"/>
      <protection/>
    </xf>
    <xf numFmtId="0" fontId="12" fillId="4" borderId="22" xfId="16" applyFont="1" applyFill="1" applyBorder="1" applyAlignment="1" quotePrefix="1">
      <alignment horizontal="left" vertical="center"/>
      <protection/>
    </xf>
    <xf numFmtId="0" fontId="12" fillId="4" borderId="5" xfId="24" applyFont="1" applyFill="1" applyBorder="1" applyAlignment="1">
      <alignment/>
    </xf>
    <xf numFmtId="0" fontId="12" fillId="4" borderId="17" xfId="24" applyFont="1" applyFill="1" applyBorder="1" applyAlignment="1">
      <alignment/>
    </xf>
    <xf numFmtId="0" fontId="12" fillId="4" borderId="22" xfId="16" applyFont="1" applyFill="1" applyBorder="1" applyAlignment="1">
      <alignment horizontal="left" vertical="center"/>
      <protection/>
    </xf>
    <xf numFmtId="4" fontId="62" fillId="0" borderId="84" xfId="0" applyNumberFormat="1" applyFont="1" applyBorder="1" applyAlignment="1" quotePrefix="1">
      <alignment horizontal="center" vertical="center" wrapText="1"/>
    </xf>
    <xf numFmtId="4" fontId="39" fillId="0" borderId="84" xfId="0" applyNumberFormat="1" applyFont="1" applyBorder="1" applyAlignment="1">
      <alignment horizontal="center" vertical="center"/>
    </xf>
    <xf numFmtId="4" fontId="39" fillId="0" borderId="84" xfId="0" applyNumberFormat="1" applyFont="1" applyBorder="1" applyAlignment="1">
      <alignment horizontal="right" vertical="center"/>
    </xf>
    <xf numFmtId="0" fontId="44" fillId="4" borderId="22" xfId="27" applyFont="1" applyFill="1" applyBorder="1" applyAlignment="1" quotePrefix="1">
      <alignment horizontal="left"/>
      <protection/>
    </xf>
    <xf numFmtId="0" fontId="15" fillId="4" borderId="5" xfId="23" applyFont="1" applyFill="1" applyBorder="1" applyAlignment="1">
      <alignment horizontal="centerContinuous" vertical="center"/>
    </xf>
    <xf numFmtId="0" fontId="15" fillId="4" borderId="5" xfId="18" applyFont="1" applyFill="1" applyBorder="1">
      <alignment horizontal="left" vertical="center"/>
    </xf>
    <xf numFmtId="40" fontId="18" fillId="4" borderId="17" xfId="32" applyFont="1" applyFill="1" applyBorder="1" applyAlignment="1" applyProtection="1">
      <alignment horizontal="left" vertical="center" wrapText="1"/>
      <protection/>
    </xf>
    <xf numFmtId="0" fontId="15" fillId="4" borderId="5" xfId="22" applyFont="1" applyFill="1" applyBorder="1" applyAlignment="1" applyProtection="1">
      <alignment horizontal="left" vertical="center"/>
      <protection/>
    </xf>
    <xf numFmtId="0" fontId="15" fillId="4" borderId="5" xfId="18" applyFont="1" applyFill="1" applyBorder="1" applyProtection="1">
      <alignment horizontal="left" vertical="center"/>
      <protection/>
    </xf>
    <xf numFmtId="40" fontId="15" fillId="4" borderId="5" xfId="32" applyFont="1" applyFill="1" applyBorder="1" applyProtection="1" quotePrefix="1">
      <alignment horizontal="right" vertical="center"/>
      <protection/>
    </xf>
    <xf numFmtId="0" fontId="16" fillId="4" borderId="15" xfId="18" applyFont="1" applyFill="1" applyBorder="1" applyAlignment="1" applyProtection="1">
      <alignment horizontal="center" vertical="center" wrapText="1"/>
      <protection/>
    </xf>
    <xf numFmtId="183" fontId="13" fillId="4" borderId="15" xfId="32" applyNumberFormat="1" applyFont="1" applyFill="1" applyBorder="1" applyAlignment="1" applyProtection="1">
      <alignment horizontal="right" vertical="center"/>
      <protection/>
    </xf>
    <xf numFmtId="0" fontId="16" fillId="4" borderId="15" xfId="22" applyFont="1" applyFill="1" applyBorder="1" applyAlignment="1">
      <alignment horizontal="center" vertical="center"/>
    </xf>
    <xf numFmtId="40" fontId="15" fillId="4" borderId="16" xfId="32" applyFont="1" applyFill="1" applyBorder="1" applyAlignment="1" applyProtection="1">
      <alignment horizontal="center" vertical="center"/>
      <protection/>
    </xf>
    <xf numFmtId="40" fontId="13" fillId="4" borderId="15" xfId="32" applyFont="1" applyFill="1" applyBorder="1" applyAlignment="1" applyProtection="1" quotePrefix="1">
      <alignment horizontal="center" vertical="center"/>
      <protection/>
    </xf>
    <xf numFmtId="0" fontId="16" fillId="4" borderId="15" xfId="18" applyFont="1" applyFill="1" applyBorder="1" applyAlignment="1">
      <alignment horizontal="center" vertical="center"/>
    </xf>
    <xf numFmtId="0" fontId="15" fillId="4" borderId="16" xfId="18" applyFont="1" applyFill="1" applyBorder="1" applyAlignment="1" applyProtection="1">
      <alignment horizontal="center" vertical="center"/>
      <protection/>
    </xf>
    <xf numFmtId="40" fontId="15" fillId="4" borderId="15" xfId="32" applyFont="1" applyFill="1" applyBorder="1" applyProtection="1">
      <alignment horizontal="right" vertical="center"/>
      <protection/>
    </xf>
    <xf numFmtId="0" fontId="15" fillId="4" borderId="16" xfId="18" applyFont="1" applyFill="1" applyBorder="1" applyProtection="1">
      <alignment horizontal="left" vertical="center"/>
      <protection/>
    </xf>
    <xf numFmtId="0" fontId="15" fillId="4" borderId="15" xfId="22" applyFont="1" applyFill="1" applyBorder="1" applyAlignment="1">
      <alignment vertical="center"/>
    </xf>
    <xf numFmtId="40" fontId="15" fillId="4" borderId="15" xfId="32" applyFont="1" applyFill="1" applyBorder="1" applyAlignment="1">
      <alignment vertical="center"/>
    </xf>
    <xf numFmtId="0" fontId="13" fillId="4" borderId="103" xfId="22" applyFont="1" applyFill="1" applyBorder="1" applyAlignment="1">
      <alignment horizontal="centerContinuous" vertical="center"/>
    </xf>
    <xf numFmtId="199" fontId="5" fillId="0" borderId="69" xfId="0" applyNumberFormat="1" applyFont="1" applyBorder="1" applyAlignment="1">
      <alignment vertical="center"/>
    </xf>
    <xf numFmtId="0" fontId="51" fillId="0" borderId="101" xfId="25" applyFont="1" applyBorder="1" applyAlignment="1" applyProtection="1">
      <alignment horizontal="center" vertical="center"/>
      <protection/>
    </xf>
    <xf numFmtId="182" fontId="5" fillId="0" borderId="70" xfId="25" applyNumberFormat="1" applyFont="1" applyBorder="1" applyAlignment="1" applyProtection="1" quotePrefix="1">
      <alignment horizontal="center" vertical="center"/>
      <protection/>
    </xf>
    <xf numFmtId="182" fontId="5" fillId="0" borderId="92" xfId="25" applyNumberFormat="1" applyFont="1" applyBorder="1" applyAlignment="1" applyProtection="1" quotePrefix="1">
      <alignment horizontal="center" vertical="center"/>
      <protection/>
    </xf>
    <xf numFmtId="190" fontId="5" fillId="0" borderId="107" xfId="0" applyNumberFormat="1" applyFont="1" applyBorder="1" applyAlignment="1">
      <alignment vertical="center"/>
    </xf>
    <xf numFmtId="182" fontId="5" fillId="0" borderId="69" xfId="25" applyNumberFormat="1" applyFont="1" applyBorder="1" applyAlignment="1" applyProtection="1" quotePrefix="1">
      <alignment horizontal="right" vertical="center"/>
      <protection/>
    </xf>
    <xf numFmtId="199" fontId="5" fillId="0" borderId="69" xfId="25" applyNumberFormat="1" applyFont="1" applyBorder="1" applyAlignment="1" applyProtection="1">
      <alignment horizontal="right" vertical="center"/>
      <protection/>
    </xf>
    <xf numFmtId="199" fontId="5" fillId="0" borderId="107" xfId="25" applyNumberFormat="1" applyFont="1" applyBorder="1" applyAlignment="1" applyProtection="1">
      <alignment horizontal="right" vertical="center"/>
      <protection/>
    </xf>
    <xf numFmtId="182" fontId="63" fillId="0" borderId="108" xfId="25" applyNumberFormat="1" applyFont="1" applyBorder="1" applyAlignment="1" applyProtection="1" quotePrefix="1">
      <alignment horizontal="center" vertical="center"/>
      <protection/>
    </xf>
    <xf numFmtId="182" fontId="63" fillId="0" borderId="109" xfId="25" applyNumberFormat="1" applyFont="1" applyBorder="1" applyAlignment="1" applyProtection="1" quotePrefix="1">
      <alignment horizontal="center" vertical="center"/>
      <protection/>
    </xf>
    <xf numFmtId="0" fontId="51" fillId="0" borderId="110" xfId="25" applyFont="1" applyBorder="1" applyAlignment="1" applyProtection="1">
      <alignment horizontal="center" vertical="center"/>
      <protection/>
    </xf>
    <xf numFmtId="182" fontId="64" fillId="0" borderId="71" xfId="25" applyNumberFormat="1" applyFont="1" applyBorder="1" applyAlignment="1" applyProtection="1">
      <alignment horizontal="center" vertical="center"/>
      <protection/>
    </xf>
    <xf numFmtId="0" fontId="12" fillId="0" borderId="22" xfId="0" applyFont="1" applyFill="1" applyBorder="1" applyAlignment="1">
      <alignment horizontal="left"/>
    </xf>
    <xf numFmtId="0" fontId="12" fillId="4" borderId="22" xfId="22" applyFont="1" applyFill="1" applyBorder="1" applyAlignment="1">
      <alignment horizontal="left" vertical="center"/>
    </xf>
    <xf numFmtId="0" fontId="12" fillId="0" borderId="0" xfId="15" applyFont="1" applyBorder="1" applyAlignment="1">
      <alignment horizontal="left" vertical="center"/>
      <protection/>
    </xf>
    <xf numFmtId="0" fontId="12" fillId="0" borderId="0" xfId="23" applyFont="1" applyBorder="1" applyAlignment="1" quotePrefix="1">
      <alignment horizontal="left" vertical="center"/>
    </xf>
    <xf numFmtId="0" fontId="15" fillId="0" borderId="0" xfId="23" applyFont="1" applyBorder="1" applyAlignment="1">
      <alignment vertical="center"/>
    </xf>
    <xf numFmtId="0" fontId="26" fillId="0" borderId="0" xfId="23" applyFont="1" applyBorder="1" applyAlignment="1">
      <alignment horizontal="center" vertical="center"/>
    </xf>
    <xf numFmtId="40" fontId="26" fillId="0" borderId="0" xfId="32" applyFont="1" applyBorder="1" applyAlignment="1">
      <alignment horizontal="left" vertical="center"/>
    </xf>
    <xf numFmtId="40" fontId="26" fillId="0" borderId="0" xfId="32" applyFont="1" applyBorder="1" applyAlignment="1">
      <alignment horizontal="right" vertical="center"/>
    </xf>
    <xf numFmtId="40" fontId="15" fillId="0" borderId="0" xfId="32" applyFont="1" applyBorder="1" applyProtection="1">
      <alignment horizontal="right" vertical="center"/>
      <protection/>
    </xf>
    <xf numFmtId="40" fontId="15" fillId="0" borderId="0" xfId="32" applyFont="1" applyBorder="1" applyAlignment="1" applyProtection="1">
      <alignment horizontal="left" vertical="center"/>
      <protection/>
    </xf>
    <xf numFmtId="0" fontId="12" fillId="4" borderId="5" xfId="23" applyFont="1" applyFill="1" applyBorder="1" applyAlignment="1">
      <alignment vertical="center"/>
    </xf>
    <xf numFmtId="0" fontId="12" fillId="4" borderId="5" xfId="23" applyFont="1" applyFill="1" applyBorder="1" applyAlignment="1">
      <alignment horizontal="center" vertical="center"/>
    </xf>
    <xf numFmtId="0" fontId="15" fillId="0" borderId="20" xfId="18" applyFont="1" applyBorder="1">
      <alignment horizontal="left" vertical="center"/>
    </xf>
    <xf numFmtId="40" fontId="15" fillId="0" borderId="20" xfId="32" applyFont="1" applyBorder="1" applyAlignment="1" applyProtection="1">
      <alignment horizontal="center" vertical="center"/>
      <protection/>
    </xf>
    <xf numFmtId="0" fontId="15" fillId="0" borderId="21" xfId="18" applyFont="1" applyBorder="1" applyAlignment="1" applyProtection="1">
      <alignment horizontal="left" vertical="center"/>
      <protection/>
    </xf>
    <xf numFmtId="0" fontId="25" fillId="0" borderId="0" xfId="23" applyFont="1" applyBorder="1" applyAlignment="1">
      <alignment horizontal="centerContinuous" vertical="top"/>
    </xf>
    <xf numFmtId="0" fontId="38" fillId="0" borderId="0" xfId="23" applyFont="1" applyBorder="1" applyAlignment="1">
      <alignment horizontal="centerContinuous"/>
    </xf>
    <xf numFmtId="0" fontId="12" fillId="0" borderId="0" xfId="23" applyFont="1" applyBorder="1" applyAlignment="1" applyProtection="1">
      <alignment vertical="center"/>
      <protection/>
    </xf>
    <xf numFmtId="0" fontId="14" fillId="0" borderId="0" xfId="23" applyFont="1" applyBorder="1" applyAlignment="1" applyProtection="1">
      <alignment horizontal="right"/>
      <protection/>
    </xf>
    <xf numFmtId="0" fontId="51" fillId="0" borderId="111" xfId="25" applyFont="1" applyBorder="1" applyAlignment="1" applyProtection="1">
      <alignment horizontal="center" vertical="center"/>
      <protection/>
    </xf>
    <xf numFmtId="190" fontId="5" fillId="0" borderId="112" xfId="0" applyNumberFormat="1" applyFont="1" applyBorder="1" applyAlignment="1">
      <alignment vertical="center"/>
    </xf>
    <xf numFmtId="0" fontId="13" fillId="4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191" fontId="39" fillId="0" borderId="18" xfId="0" applyNumberFormat="1" applyFont="1" applyBorder="1" applyAlignment="1">
      <alignment horizontal="right" vertical="center"/>
    </xf>
    <xf numFmtId="0" fontId="4" fillId="0" borderId="89" xfId="25" applyFont="1" applyBorder="1" applyAlignment="1" applyProtection="1" quotePrefix="1">
      <alignment horizontal="center" vertical="center"/>
      <protection/>
    </xf>
    <xf numFmtId="0" fontId="51" fillId="0" borderId="113" xfId="25" applyFont="1" applyBorder="1" applyAlignment="1" applyProtection="1">
      <alignment horizontal="center" vertical="center"/>
      <protection/>
    </xf>
    <xf numFmtId="190" fontId="5" fillId="0" borderId="114" xfId="0" applyNumberFormat="1" applyFont="1" applyBorder="1" applyAlignment="1">
      <alignment vertical="center"/>
    </xf>
    <xf numFmtId="0" fontId="12" fillId="0" borderId="115" xfId="25" applyFont="1" applyBorder="1" applyAlignment="1" applyProtection="1">
      <alignment horizontal="center" vertical="center"/>
      <protection/>
    </xf>
    <xf numFmtId="0" fontId="51" fillId="0" borderId="116" xfId="25" applyFont="1" applyBorder="1" applyAlignment="1" applyProtection="1">
      <alignment horizontal="center" vertical="center"/>
      <protection/>
    </xf>
    <xf numFmtId="199" fontId="5" fillId="0" borderId="117" xfId="25" applyNumberFormat="1" applyFont="1" applyBorder="1" applyAlignment="1" applyProtection="1">
      <alignment horizontal="right" vertical="center"/>
      <protection/>
    </xf>
    <xf numFmtId="0" fontId="61" fillId="0" borderId="107" xfId="0" applyFont="1" applyBorder="1" applyAlignment="1" quotePrefix="1">
      <alignment horizontal="left" vertical="center"/>
    </xf>
    <xf numFmtId="190" fontId="5" fillId="0" borderId="118" xfId="0" applyNumberFormat="1" applyFont="1" applyBorder="1" applyAlignment="1">
      <alignment vertical="center"/>
    </xf>
    <xf numFmtId="201" fontId="5" fillId="0" borderId="90" xfId="25" applyNumberFormat="1" applyFont="1" applyBorder="1" applyAlignment="1" applyProtection="1">
      <alignment horizontal="right" vertical="center"/>
      <protection/>
    </xf>
    <xf numFmtId="0" fontId="13" fillId="0" borderId="54" xfId="22" applyFont="1" applyBorder="1" applyAlignment="1">
      <alignment horizontal="distributed" vertical="distributed"/>
    </xf>
    <xf numFmtId="190" fontId="5" fillId="0" borderId="119" xfId="25" applyNumberFormat="1" applyFont="1" applyBorder="1" applyAlignment="1" applyProtection="1">
      <alignment horizontal="right" vertical="center"/>
      <protection/>
    </xf>
    <xf numFmtId="190" fontId="5" fillId="0" borderId="120" xfId="0" applyNumberFormat="1" applyFont="1" applyBorder="1" applyAlignment="1">
      <alignment vertical="center"/>
    </xf>
    <xf numFmtId="190" fontId="5" fillId="0" borderId="108" xfId="25" applyNumberFormat="1" applyFont="1" applyBorder="1" applyAlignment="1" applyProtection="1">
      <alignment horizontal="right" vertical="center"/>
      <protection/>
    </xf>
    <xf numFmtId="190" fontId="5" fillId="0" borderId="121" xfId="25" applyNumberFormat="1" applyFont="1" applyBorder="1" applyAlignment="1" applyProtection="1">
      <alignment horizontal="right" vertical="center"/>
      <protection/>
    </xf>
    <xf numFmtId="4" fontId="12" fillId="4" borderId="52" xfId="20" applyNumberFormat="1" applyFont="1" applyFill="1" applyBorder="1" applyAlignment="1">
      <alignment vertical="center"/>
      <protection/>
    </xf>
    <xf numFmtId="4" fontId="12" fillId="4" borderId="44" xfId="20" applyNumberFormat="1" applyFont="1" applyFill="1" applyBorder="1" applyAlignment="1">
      <alignment vertical="center"/>
      <protection/>
    </xf>
    <xf numFmtId="4" fontId="12" fillId="4" borderId="25" xfId="20" applyNumberFormat="1" applyFont="1" applyFill="1" applyBorder="1" applyAlignment="1">
      <alignment vertical="center"/>
      <protection/>
    </xf>
    <xf numFmtId="0" fontId="13" fillId="4" borderId="22" xfId="22" applyFont="1" applyFill="1" applyBorder="1" applyAlignment="1">
      <alignment horizontal="distributed" vertical="center"/>
    </xf>
    <xf numFmtId="0" fontId="13" fillId="4" borderId="54" xfId="22" applyFont="1" applyFill="1" applyBorder="1" applyAlignment="1">
      <alignment horizontal="distributed" vertical="center"/>
    </xf>
    <xf numFmtId="0" fontId="13" fillId="0" borderId="54" xfId="22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22" applyFont="1" applyBorder="1" applyAlignment="1">
      <alignment horizontal="distributed" vertical="distributed"/>
    </xf>
    <xf numFmtId="0" fontId="13" fillId="0" borderId="122" xfId="23" applyFont="1" applyBorder="1" applyAlignment="1">
      <alignment horizontal="center" vertical="center"/>
    </xf>
    <xf numFmtId="38" fontId="13" fillId="0" borderId="123" xfId="32" applyNumberFormat="1" applyFont="1" applyBorder="1" applyAlignment="1">
      <alignment horizontal="center" vertical="center"/>
    </xf>
    <xf numFmtId="0" fontId="13" fillId="0" borderId="123" xfId="17" applyFont="1" applyBorder="1" applyAlignment="1">
      <alignment horizontal="center" vertical="center"/>
      <protection/>
    </xf>
    <xf numFmtId="0" fontId="16" fillId="0" borderId="61" xfId="23" applyFont="1" applyBorder="1" applyAlignment="1">
      <alignment horizontal="centerContinuous" vertical="center"/>
    </xf>
    <xf numFmtId="0" fontId="13" fillId="0" borderId="61" xfId="23" applyFont="1" applyBorder="1" applyAlignment="1">
      <alignment horizontal="centerContinuous" vertical="center"/>
    </xf>
    <xf numFmtId="0" fontId="13" fillId="0" borderId="54" xfId="23" applyFont="1" applyBorder="1" applyAlignment="1">
      <alignment horizontal="center" vertical="center"/>
    </xf>
    <xf numFmtId="40" fontId="13" fillId="0" borderId="54" xfId="32" applyFont="1" applyBorder="1" applyAlignment="1">
      <alignment horizontal="center" vertical="center"/>
    </xf>
    <xf numFmtId="40" fontId="13" fillId="0" borderId="17" xfId="32" applyFont="1" applyBorder="1" applyAlignment="1">
      <alignment horizontal="center" vertical="center"/>
    </xf>
    <xf numFmtId="40" fontId="13" fillId="0" borderId="54" xfId="32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Alignment="1">
      <alignment/>
    </xf>
    <xf numFmtId="0" fontId="13" fillId="0" borderId="15" xfId="18" applyFont="1" applyBorder="1" applyAlignment="1" quotePrefix="1">
      <alignment horizontal="center" vertical="center"/>
    </xf>
    <xf numFmtId="40" fontId="13" fillId="0" borderId="57" xfId="32" applyFont="1" applyBorder="1" applyAlignment="1" applyProtection="1">
      <alignment horizontal="right" vertical="center"/>
      <protection/>
    </xf>
    <xf numFmtId="40" fontId="13" fillId="0" borderId="58" xfId="32" applyFont="1" applyBorder="1" applyAlignment="1" quotePrefix="1">
      <alignment horizontal="left" vertical="center"/>
    </xf>
    <xf numFmtId="0" fontId="13" fillId="0" borderId="20" xfId="22" applyFont="1" applyFill="1" applyBorder="1" applyAlignment="1">
      <alignment horizontal="centerContinuous" vertical="center"/>
    </xf>
    <xf numFmtId="0" fontId="13" fillId="0" borderId="103" xfId="22" applyFont="1" applyFill="1" applyBorder="1" applyAlignment="1">
      <alignment horizontal="centerContinuous" vertical="center"/>
    </xf>
    <xf numFmtId="0" fontId="13" fillId="0" borderId="24" xfId="18" applyFont="1" applyFill="1" applyBorder="1" applyAlignment="1" applyProtection="1" quotePrefix="1">
      <alignment horizontal="center" vertical="center"/>
      <protection/>
    </xf>
    <xf numFmtId="0" fontId="13" fillId="0" borderId="22" xfId="22" applyFont="1" applyFill="1" applyBorder="1" applyAlignment="1">
      <alignment horizontal="centerContinuous" vertical="center"/>
    </xf>
    <xf numFmtId="0" fontId="13" fillId="0" borderId="124" xfId="22" applyFont="1" applyFill="1" applyBorder="1" applyAlignment="1">
      <alignment horizontal="centerContinuous" vertical="center"/>
    </xf>
    <xf numFmtId="40" fontId="13" fillId="0" borderId="16" xfId="32" applyFont="1" applyFill="1" applyBorder="1" applyAlignment="1">
      <alignment horizontal="center" vertical="center"/>
    </xf>
    <xf numFmtId="0" fontId="16" fillId="0" borderId="15" xfId="22" applyFont="1" applyBorder="1" applyAlignment="1">
      <alignment horizontal="distributed" vertical="distributed"/>
    </xf>
    <xf numFmtId="183" fontId="13" fillId="0" borderId="15" xfId="32" applyNumberFormat="1" applyFont="1" applyFill="1" applyBorder="1" applyProtection="1">
      <alignment horizontal="right" vertical="center"/>
      <protection/>
    </xf>
    <xf numFmtId="40" fontId="13" fillId="0" borderId="16" xfId="32" applyFont="1" applyFill="1" applyBorder="1" applyAlignment="1" applyProtection="1">
      <alignment horizontal="center" vertical="center"/>
      <protection/>
    </xf>
    <xf numFmtId="40" fontId="13" fillId="0" borderId="16" xfId="32" applyFont="1" applyFill="1" applyBorder="1" applyAlignment="1" applyProtection="1">
      <alignment horizontal="left" vertical="center"/>
      <protection/>
    </xf>
    <xf numFmtId="40" fontId="13" fillId="0" borderId="15" xfId="32" applyFont="1" applyFill="1" applyBorder="1" applyAlignment="1" applyProtection="1" quotePrefix="1">
      <alignment horizontal="center" vertical="center"/>
      <protection/>
    </xf>
    <xf numFmtId="0" fontId="15" fillId="0" borderId="15" xfId="22" applyFont="1" applyBorder="1" applyAlignment="1">
      <alignment horizontal="distributed" vertical="distributed"/>
    </xf>
    <xf numFmtId="0" fontId="13" fillId="0" borderId="15" xfId="18" applyFont="1" applyFill="1" applyBorder="1" applyAlignment="1">
      <alignment horizontal="center" vertical="center"/>
    </xf>
    <xf numFmtId="0" fontId="13" fillId="0" borderId="16" xfId="18" applyFont="1" applyFill="1" applyBorder="1" applyAlignment="1" applyProtection="1">
      <alignment horizontal="left" vertical="center"/>
      <protection/>
    </xf>
    <xf numFmtId="0" fontId="16" fillId="0" borderId="15" xfId="18" applyFont="1" applyFill="1" applyBorder="1" applyAlignment="1">
      <alignment horizontal="center" vertical="center"/>
    </xf>
    <xf numFmtId="40" fontId="13" fillId="0" borderId="15" xfId="32" applyFont="1" applyFill="1" applyBorder="1" applyAlignment="1" applyProtection="1">
      <alignment horizontal="right" vertical="center"/>
      <protection/>
    </xf>
    <xf numFmtId="0" fontId="13" fillId="0" borderId="16" xfId="18" applyFont="1" applyFill="1" applyBorder="1" applyProtection="1">
      <alignment horizontal="left" vertical="center"/>
      <protection/>
    </xf>
    <xf numFmtId="0" fontId="13" fillId="0" borderId="15" xfId="22" applyFont="1" applyFill="1" applyBorder="1" applyAlignment="1">
      <alignment vertical="center"/>
    </xf>
    <xf numFmtId="40" fontId="13" fillId="0" borderId="15" xfId="32" applyFont="1" applyFill="1" applyBorder="1" applyAlignment="1">
      <alignment vertical="center"/>
    </xf>
    <xf numFmtId="0" fontId="13" fillId="0" borderId="58" xfId="18" applyFont="1" applyFill="1" applyBorder="1" applyProtection="1">
      <alignment horizontal="left" vertical="center"/>
      <protection/>
    </xf>
    <xf numFmtId="0" fontId="13" fillId="0" borderId="53" xfId="15" applyFont="1" applyFill="1" applyBorder="1">
      <alignment horizontal="left" vertical="center"/>
      <protection/>
    </xf>
    <xf numFmtId="0" fontId="13" fillId="0" borderId="23" xfId="22" applyFont="1" applyFill="1" applyBorder="1" applyAlignment="1">
      <alignment vertical="center"/>
    </xf>
    <xf numFmtId="40" fontId="14" fillId="0" borderId="23" xfId="32" applyFont="1" applyFill="1" applyBorder="1" applyAlignment="1" applyProtection="1">
      <alignment horizontal="left" vertical="center"/>
      <protection/>
    </xf>
    <xf numFmtId="40" fontId="14" fillId="0" borderId="23" xfId="32" applyFont="1" applyFill="1" applyBorder="1" applyAlignment="1" applyProtection="1" quotePrefix="1">
      <alignment horizontal="right" vertical="center"/>
      <protection/>
    </xf>
    <xf numFmtId="40" fontId="14" fillId="0" borderId="23" xfId="32" applyFont="1" applyFill="1" applyBorder="1" applyAlignment="1">
      <alignment horizontal="center" vertical="center"/>
    </xf>
    <xf numFmtId="40" fontId="13" fillId="0" borderId="44" xfId="32" applyFont="1" applyFill="1" applyBorder="1" applyAlignment="1">
      <alignment vertical="center"/>
    </xf>
    <xf numFmtId="40" fontId="13" fillId="0" borderId="25" xfId="32" applyFont="1" applyFill="1" applyBorder="1" applyAlignment="1">
      <alignment vertical="center"/>
    </xf>
    <xf numFmtId="0" fontId="26" fillId="4" borderId="53" xfId="22" applyFont="1" applyFill="1" applyBorder="1" applyAlignment="1">
      <alignment vertical="center"/>
    </xf>
    <xf numFmtId="0" fontId="26" fillId="4" borderId="23" xfId="22" applyFont="1" applyFill="1" applyBorder="1" applyAlignment="1">
      <alignment vertical="center"/>
    </xf>
    <xf numFmtId="40" fontId="26" fillId="4" borderId="23" xfId="32" applyFont="1" applyFill="1" applyBorder="1" applyAlignment="1">
      <alignment horizontal="right" vertical="center"/>
    </xf>
    <xf numFmtId="40" fontId="13" fillId="0" borderId="24" xfId="32" applyFont="1" applyBorder="1" applyAlignment="1">
      <alignment horizontal="center" vertical="center"/>
    </xf>
    <xf numFmtId="40" fontId="13" fillId="0" borderId="15" xfId="32" applyNumberFormat="1" applyFont="1" applyBorder="1" applyProtection="1">
      <alignment horizontal="right" vertical="center"/>
      <protection/>
    </xf>
    <xf numFmtId="0" fontId="13" fillId="0" borderId="15" xfId="0" applyFont="1" applyBorder="1" applyAlignment="1">
      <alignment horizontal="center"/>
    </xf>
    <xf numFmtId="0" fontId="14" fillId="0" borderId="53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13" fillId="0" borderId="20" xfId="22" applyFont="1" applyBorder="1" applyAlignment="1">
      <alignment horizontal="centerContinuous" vertical="center"/>
    </xf>
    <xf numFmtId="40" fontId="13" fillId="0" borderId="20" xfId="32" applyFont="1" applyBorder="1" applyAlignment="1">
      <alignment horizontal="centerContinuous" vertical="center"/>
    </xf>
    <xf numFmtId="40" fontId="13" fillId="0" borderId="103" xfId="32" applyFont="1" applyBorder="1" applyAlignment="1">
      <alignment horizontal="centerContinuous" vertical="center"/>
    </xf>
    <xf numFmtId="0" fontId="13" fillId="0" borderId="54" xfId="0" applyFont="1" applyBorder="1" applyAlignment="1">
      <alignment horizontal="distributed" vertical="distributed"/>
    </xf>
    <xf numFmtId="40" fontId="13" fillId="0" borderId="16" xfId="32" applyFont="1" applyBorder="1" applyAlignment="1" applyProtection="1" quotePrefix="1">
      <alignment horizontal="left" vertical="center"/>
      <protection/>
    </xf>
    <xf numFmtId="0" fontId="16" fillId="0" borderId="15" xfId="22" applyFont="1" applyBorder="1" applyAlignment="1">
      <alignment horizontal="left" vertical="center"/>
    </xf>
    <xf numFmtId="40" fontId="13" fillId="0" borderId="15" xfId="32" applyNumberFormat="1" applyFont="1" applyBorder="1" applyAlignment="1">
      <alignment horizontal="right" vertical="center"/>
    </xf>
    <xf numFmtId="0" fontId="16" fillId="0" borderId="15" xfId="18" applyFont="1" applyBorder="1" applyAlignment="1" applyProtection="1" quotePrefix="1">
      <alignment horizontal="left" vertical="center" wrapText="1"/>
      <protection/>
    </xf>
    <xf numFmtId="40" fontId="13" fillId="0" borderId="15" xfId="32" applyFont="1" applyBorder="1" applyAlignment="1" applyProtection="1" quotePrefix="1">
      <alignment vertical="center"/>
      <protection/>
    </xf>
    <xf numFmtId="0" fontId="13" fillId="0" borderId="16" xfId="18" applyFont="1" applyBorder="1" applyAlignment="1" applyProtection="1">
      <alignment horizontal="left" vertical="center" wrapText="1"/>
      <protection/>
    </xf>
    <xf numFmtId="0" fontId="13" fillId="0" borderId="15" xfId="18" applyFont="1" applyBorder="1" applyAlignment="1" applyProtection="1">
      <alignment horizontal="left" vertical="center"/>
      <protection/>
    </xf>
    <xf numFmtId="0" fontId="13" fillId="0" borderId="125" xfId="0" applyFont="1" applyBorder="1" applyAlignment="1">
      <alignment horizontal="right" vertical="center"/>
    </xf>
    <xf numFmtId="0" fontId="13" fillId="0" borderId="126" xfId="0" applyFont="1" applyBorder="1" applyAlignment="1">
      <alignment horizontal="right" vertical="center"/>
    </xf>
    <xf numFmtId="0" fontId="16" fillId="0" borderId="15" xfId="22" applyFont="1" applyBorder="1" applyAlignment="1">
      <alignment horizontal="center" vertical="center"/>
    </xf>
    <xf numFmtId="0" fontId="13" fillId="0" borderId="15" xfId="18" applyFont="1" applyBorder="1" applyAlignment="1" applyProtection="1" quotePrefix="1">
      <alignment horizontal="left" vertical="center" wrapText="1"/>
      <protection/>
    </xf>
    <xf numFmtId="40" fontId="14" fillId="0" borderId="64" xfId="32" applyFont="1" applyBorder="1" applyAlignment="1">
      <alignment horizontal="right" vertical="center"/>
    </xf>
    <xf numFmtId="40" fontId="13" fillId="0" borderId="64" xfId="32" applyNumberFormat="1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40" fontId="16" fillId="0" borderId="16" xfId="32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 quotePrefix="1">
      <alignment vertical="center" wrapText="1" shrinkToFit="1"/>
    </xf>
    <xf numFmtId="0" fontId="16" fillId="0" borderId="15" xfId="0" applyFont="1" applyBorder="1" applyAlignment="1">
      <alignment vertical="center" wrapText="1" shrinkToFit="1"/>
    </xf>
    <xf numFmtId="0" fontId="13" fillId="0" borderId="127" xfId="22" applyFont="1" applyBorder="1" applyAlignment="1">
      <alignment horizontal="centerContinuous" vertical="center"/>
    </xf>
    <xf numFmtId="40" fontId="13" fillId="0" borderId="24" xfId="32" applyFont="1" applyBorder="1" applyAlignment="1" quotePrefix="1">
      <alignment horizontal="center" vertical="center"/>
    </xf>
    <xf numFmtId="0" fontId="13" fillId="0" borderId="128" xfId="22" applyFont="1" applyBorder="1" applyAlignment="1">
      <alignment horizontal="centerContinuous" vertical="center"/>
    </xf>
    <xf numFmtId="0" fontId="13" fillId="0" borderId="56" xfId="22" applyFont="1" applyBorder="1" applyAlignment="1">
      <alignment horizontal="centerContinuous" vertical="center"/>
    </xf>
    <xf numFmtId="0" fontId="13" fillId="0" borderId="56" xfId="22" applyFont="1" applyBorder="1" applyAlignment="1">
      <alignment horizontal="center" vertical="center"/>
    </xf>
    <xf numFmtId="40" fontId="13" fillId="0" borderId="56" xfId="32" applyFont="1" applyBorder="1" applyAlignment="1">
      <alignment horizontal="center" vertical="center"/>
    </xf>
    <xf numFmtId="40" fontId="13" fillId="0" borderId="97" xfId="32" applyFont="1" applyBorder="1" applyAlignment="1">
      <alignment horizontal="center" vertical="center"/>
    </xf>
    <xf numFmtId="0" fontId="16" fillId="0" borderId="15" xfId="18" applyFont="1" applyBorder="1" applyAlignment="1" applyProtection="1" quotePrefix="1">
      <alignment horizontal="center" vertical="center" wrapText="1"/>
      <protection/>
    </xf>
    <xf numFmtId="183" fontId="13" fillId="0" borderId="15" xfId="32" applyNumberFormat="1" applyFont="1" applyBorder="1" applyAlignment="1" applyProtection="1" quotePrefix="1">
      <alignment horizontal="right" vertical="center"/>
      <protection/>
    </xf>
    <xf numFmtId="40" fontId="16" fillId="0" borderId="97" xfId="32" applyFont="1" applyBorder="1" applyAlignment="1" applyProtection="1">
      <alignment horizontal="center" vertical="center"/>
      <protection/>
    </xf>
    <xf numFmtId="0" fontId="13" fillId="0" borderId="15" xfId="22" applyFont="1" applyBorder="1" applyAlignment="1" quotePrefix="1">
      <alignment horizontal="center" vertical="center"/>
    </xf>
    <xf numFmtId="40" fontId="13" fillId="0" borderId="15" xfId="32" applyFont="1" applyBorder="1" applyAlignment="1" quotePrefix="1">
      <alignment horizontal="center" vertical="center"/>
    </xf>
    <xf numFmtId="40" fontId="16" fillId="0" borderId="16" xfId="32" applyFont="1" applyBorder="1" applyAlignment="1" applyProtection="1">
      <alignment horizontal="center" vertical="center" wrapText="1"/>
      <protection/>
    </xf>
    <xf numFmtId="40" fontId="13" fillId="0" borderId="97" xfId="32" applyFont="1" applyBorder="1" applyAlignment="1" applyProtection="1" quotePrefix="1">
      <alignment horizontal="center" vertical="center"/>
      <protection/>
    </xf>
    <xf numFmtId="0" fontId="13" fillId="0" borderId="55" xfId="22" applyFont="1" applyBorder="1" applyAlignment="1">
      <alignment horizontal="distributed" vertical="distributed"/>
    </xf>
    <xf numFmtId="0" fontId="13" fillId="0" borderId="56" xfId="22" applyFont="1" applyBorder="1" applyAlignment="1">
      <alignment horizontal="distributed" vertical="distributed"/>
    </xf>
    <xf numFmtId="20" fontId="13" fillId="0" borderId="56" xfId="18" applyNumberFormat="1" applyFont="1" applyBorder="1" applyProtection="1" quotePrefix="1">
      <alignment horizontal="left" vertical="center"/>
      <protection/>
    </xf>
    <xf numFmtId="40" fontId="13" fillId="0" borderId="56" xfId="32" applyFont="1" applyBorder="1" applyAlignment="1" applyProtection="1" quotePrefix="1">
      <alignment horizontal="center" vertical="center"/>
      <protection/>
    </xf>
    <xf numFmtId="183" fontId="13" fillId="0" borderId="56" xfId="32" applyNumberFormat="1" applyFont="1" applyBorder="1" applyProtection="1" quotePrefix="1">
      <alignment horizontal="right" vertical="center"/>
      <protection/>
    </xf>
    <xf numFmtId="40" fontId="13" fillId="0" borderId="56" xfId="32" applyFont="1" applyBorder="1" applyProtection="1">
      <alignment horizontal="right" vertical="center"/>
      <protection/>
    </xf>
    <xf numFmtId="0" fontId="13" fillId="0" borderId="55" xfId="15" applyFont="1" applyBorder="1" applyAlignment="1">
      <alignment horizontal="left" vertical="center"/>
      <protection/>
    </xf>
    <xf numFmtId="0" fontId="13" fillId="0" borderId="56" xfId="18" applyFont="1" applyBorder="1" applyAlignment="1">
      <alignment horizontal="center" vertical="center"/>
    </xf>
    <xf numFmtId="40" fontId="13" fillId="0" borderId="56" xfId="32" applyFont="1" applyBorder="1" applyAlignment="1" applyProtection="1">
      <alignment horizontal="center" vertical="center"/>
      <protection/>
    </xf>
    <xf numFmtId="40" fontId="13" fillId="0" borderId="16" xfId="32" applyFont="1" applyBorder="1" applyAlignment="1">
      <alignment vertical="center"/>
    </xf>
    <xf numFmtId="0" fontId="14" fillId="0" borderId="23" xfId="22" applyFont="1" applyBorder="1" applyAlignment="1">
      <alignment vertical="center"/>
    </xf>
    <xf numFmtId="183" fontId="13" fillId="0" borderId="15" xfId="32" applyNumberFormat="1" applyFont="1" applyBorder="1" applyProtection="1">
      <alignment horizontal="right" vertical="center"/>
      <protection/>
    </xf>
    <xf numFmtId="40" fontId="13" fillId="0" borderId="54" xfId="32" applyFont="1" applyBorder="1" applyAlignment="1" applyProtection="1">
      <alignment horizontal="center" vertical="center"/>
      <protection/>
    </xf>
    <xf numFmtId="40" fontId="13" fillId="0" borderId="54" xfId="32" applyFont="1" applyBorder="1" applyProtection="1">
      <alignment horizontal="right" vertical="center"/>
      <protection/>
    </xf>
    <xf numFmtId="40" fontId="16" fillId="0" borderId="17" xfId="32" applyFont="1" applyBorder="1" applyAlignment="1" applyProtection="1" quotePrefix="1">
      <alignment horizontal="center" vertical="center"/>
      <protection/>
    </xf>
    <xf numFmtId="0" fontId="16" fillId="0" borderId="54" xfId="18" applyFont="1" applyBorder="1" applyAlignment="1" quotePrefix="1">
      <alignment horizontal="center" vertical="center" wrapText="1"/>
    </xf>
    <xf numFmtId="40" fontId="16" fillId="0" borderId="16" xfId="32" applyFont="1" applyBorder="1" applyAlignment="1" applyProtection="1">
      <alignment horizontal="left" vertical="center"/>
      <protection/>
    </xf>
    <xf numFmtId="20" fontId="16" fillId="0" borderId="15" xfId="18" applyNumberFormat="1" applyFont="1" applyBorder="1">
      <alignment horizontal="left" vertical="center"/>
    </xf>
    <xf numFmtId="40" fontId="13" fillId="0" borderId="16" xfId="32" applyFont="1" applyBorder="1" applyAlignment="1" applyProtection="1" quotePrefix="1">
      <alignment horizontal="center" vertical="center"/>
      <protection/>
    </xf>
    <xf numFmtId="20" fontId="13" fillId="0" borderId="15" xfId="18" applyNumberFormat="1" applyFont="1" applyBorder="1">
      <alignment horizontal="left" vertical="center"/>
    </xf>
    <xf numFmtId="0" fontId="14" fillId="0" borderId="23" xfId="22" applyFont="1" applyBorder="1" applyAlignment="1" quotePrefix="1">
      <alignment vertical="center"/>
    </xf>
    <xf numFmtId="0" fontId="13" fillId="0" borderId="22" xfId="22" applyFont="1" applyBorder="1" applyAlignment="1">
      <alignment horizontal="centerContinuous" vertical="center"/>
    </xf>
    <xf numFmtId="0" fontId="14" fillId="0" borderId="53" xfId="22" applyFont="1" applyBorder="1" applyAlignment="1">
      <alignment vertical="center"/>
    </xf>
    <xf numFmtId="0" fontId="13" fillId="0" borderId="15" xfId="18" applyFont="1" applyFill="1" applyBorder="1" applyAlignment="1" applyProtection="1">
      <alignment horizontal="center" vertical="center" wrapText="1"/>
      <protection/>
    </xf>
    <xf numFmtId="40" fontId="16" fillId="0" borderId="16" xfId="32" applyFont="1" applyFill="1" applyBorder="1" applyAlignment="1" applyProtection="1" quotePrefix="1">
      <alignment horizontal="center" vertical="center"/>
      <protection/>
    </xf>
    <xf numFmtId="0" fontId="13" fillId="0" borderId="15" xfId="18" applyFont="1" applyFill="1" applyBorder="1" quotePrefix="1">
      <alignment horizontal="left" vertical="center"/>
    </xf>
    <xf numFmtId="0" fontId="13" fillId="0" borderId="5" xfId="22" applyFont="1" applyFill="1" applyBorder="1" applyAlignment="1">
      <alignment horizontal="centerContinuous" vertical="center"/>
    </xf>
    <xf numFmtId="0" fontId="13" fillId="0" borderId="53" xfId="22" applyFont="1" applyFill="1" applyBorder="1" applyAlignment="1">
      <alignment vertical="center"/>
    </xf>
    <xf numFmtId="0" fontId="14" fillId="0" borderId="23" xfId="22" applyFont="1" applyFill="1" applyBorder="1" applyAlignment="1">
      <alignment vertical="center"/>
    </xf>
    <xf numFmtId="0" fontId="16" fillId="0" borderId="15" xfId="18" applyFont="1" applyBorder="1" applyAlignment="1" applyProtection="1">
      <alignment horizontal="center" vertical="center"/>
      <protection/>
    </xf>
    <xf numFmtId="40" fontId="13" fillId="0" borderId="54" xfId="32" applyFont="1" applyBorder="1" applyAlignment="1" applyProtection="1">
      <alignment horizontal="right" vertical="center"/>
      <protection/>
    </xf>
    <xf numFmtId="40" fontId="13" fillId="0" borderId="86" xfId="32" applyFont="1" applyBorder="1" applyAlignment="1">
      <alignment vertical="center"/>
    </xf>
    <xf numFmtId="0" fontId="15" fillId="0" borderId="15" xfId="22" applyFont="1" applyBorder="1" applyAlignment="1">
      <alignment horizontal="center" vertical="center"/>
    </xf>
    <xf numFmtId="0" fontId="15" fillId="0" borderId="5" xfId="22" applyFont="1" applyBorder="1" applyAlignment="1">
      <alignment horizontal="centerContinuous" vertical="center"/>
    </xf>
    <xf numFmtId="0" fontId="15" fillId="0" borderId="15" xfId="18" applyFont="1" applyBorder="1">
      <alignment horizontal="left" vertical="center"/>
    </xf>
    <xf numFmtId="0" fontId="15" fillId="0" borderId="15" xfId="22" applyFont="1" applyBorder="1" applyAlignment="1">
      <alignment vertical="center"/>
    </xf>
    <xf numFmtId="0" fontId="15" fillId="0" borderId="22" xfId="22" applyFont="1" applyBorder="1" applyAlignment="1">
      <alignment vertical="center"/>
    </xf>
    <xf numFmtId="40" fontId="15" fillId="0" borderId="15" xfId="32" applyFont="1" applyBorder="1" applyAlignment="1">
      <alignment vertical="center"/>
    </xf>
    <xf numFmtId="0" fontId="15" fillId="0" borderId="22" xfId="15" applyFont="1" applyBorder="1" applyAlignment="1">
      <alignment horizontal="left" vertical="center"/>
      <protection/>
    </xf>
    <xf numFmtId="40" fontId="15" fillId="0" borderId="16" xfId="32" applyFont="1" applyBorder="1" applyAlignment="1">
      <alignment vertical="center"/>
    </xf>
    <xf numFmtId="40" fontId="15" fillId="0" borderId="97" xfId="32" applyFont="1" applyBorder="1" applyAlignment="1" applyProtection="1">
      <alignment horizontal="left" vertical="center"/>
      <protection/>
    </xf>
    <xf numFmtId="40" fontId="13" fillId="0" borderId="23" xfId="32" applyFont="1" applyBorder="1" applyAlignment="1">
      <alignment horizontal="center" vertical="center"/>
    </xf>
    <xf numFmtId="0" fontId="13" fillId="0" borderId="22" xfId="15" applyFont="1" applyBorder="1" applyAlignment="1">
      <alignment horizontal="center" vertical="center"/>
      <protection/>
    </xf>
    <xf numFmtId="0" fontId="13" fillId="0" borderId="54" xfId="15" applyFont="1" applyBorder="1" applyAlignment="1">
      <alignment horizontal="center" vertical="center"/>
      <protection/>
    </xf>
    <xf numFmtId="0" fontId="13" fillId="4" borderId="54" xfId="22" applyFont="1" applyFill="1" applyBorder="1" applyAlignment="1">
      <alignment horizontal="center" vertical="center"/>
    </xf>
    <xf numFmtId="0" fontId="15" fillId="4" borderId="58" xfId="18" applyFont="1" applyFill="1" applyBorder="1" applyProtection="1">
      <alignment horizontal="left" vertical="center"/>
      <protection/>
    </xf>
    <xf numFmtId="0" fontId="13" fillId="0" borderId="129" xfId="22" applyFont="1" applyBorder="1" applyAlignment="1">
      <alignment horizontal="center" vertical="center"/>
    </xf>
    <xf numFmtId="38" fontId="13" fillId="0" borderId="130" xfId="32" applyNumberFormat="1" applyFont="1" applyBorder="1" applyAlignment="1">
      <alignment horizontal="center" vertical="center"/>
    </xf>
    <xf numFmtId="0" fontId="13" fillId="0" borderId="131" xfId="22" applyFont="1" applyBorder="1" applyAlignment="1">
      <alignment horizontal="centerContinuous" vertical="center"/>
    </xf>
    <xf numFmtId="40" fontId="13" fillId="0" borderId="131" xfId="32" applyFont="1" applyBorder="1" applyAlignment="1">
      <alignment horizontal="centerContinuous" vertical="center"/>
    </xf>
    <xf numFmtId="40" fontId="13" fillId="0" borderId="132" xfId="32" applyFont="1" applyBorder="1" applyAlignment="1">
      <alignment horizontal="centerContinuous" vertical="center"/>
    </xf>
    <xf numFmtId="40" fontId="13" fillId="0" borderId="130" xfId="32" applyFont="1" applyBorder="1" applyAlignment="1">
      <alignment horizontal="center" vertical="center"/>
    </xf>
    <xf numFmtId="40" fontId="13" fillId="0" borderId="133" xfId="32" applyFont="1" applyBorder="1" applyAlignment="1" quotePrefix="1">
      <alignment horizontal="center" vertical="center"/>
    </xf>
    <xf numFmtId="0" fontId="13" fillId="0" borderId="15" xfId="18" applyFont="1" applyBorder="1" applyAlignment="1" applyProtection="1">
      <alignment horizontal="justify" vertical="center" wrapText="1"/>
      <protection/>
    </xf>
    <xf numFmtId="0" fontId="13" fillId="0" borderId="16" xfId="18" applyFont="1" applyBorder="1" applyProtection="1" quotePrefix="1">
      <alignment horizontal="left" vertical="center"/>
      <protection/>
    </xf>
    <xf numFmtId="0" fontId="13" fillId="0" borderId="134" xfId="22" applyFont="1" applyBorder="1" applyAlignment="1">
      <alignment vertical="center"/>
    </xf>
    <xf numFmtId="0" fontId="13" fillId="0" borderId="135" xfId="22" applyFont="1" applyBorder="1" applyAlignment="1">
      <alignment vertical="center"/>
    </xf>
    <xf numFmtId="0" fontId="14" fillId="0" borderId="135" xfId="22" applyFont="1" applyBorder="1" applyAlignment="1">
      <alignment vertical="center"/>
    </xf>
    <xf numFmtId="40" fontId="14" fillId="0" borderId="135" xfId="32" applyFont="1" applyBorder="1" applyAlignment="1">
      <alignment horizontal="right" vertical="center"/>
    </xf>
    <xf numFmtId="40" fontId="14" fillId="0" borderId="135" xfId="32" applyFont="1" applyBorder="1" applyAlignment="1">
      <alignment horizontal="center" vertical="center"/>
    </xf>
    <xf numFmtId="40" fontId="13" fillId="0" borderId="136" xfId="32" applyFont="1" applyBorder="1" applyAlignment="1">
      <alignment horizontal="centerContinuous" vertical="center"/>
    </xf>
    <xf numFmtId="0" fontId="13" fillId="0" borderId="42" xfId="22" applyFont="1" applyBorder="1" applyAlignment="1">
      <alignment horizontal="centerContinuous" vertical="center"/>
    </xf>
    <xf numFmtId="0" fontId="13" fillId="0" borderId="18" xfId="22" applyFont="1" applyBorder="1" applyAlignment="1">
      <alignment horizontal="centerContinuous" vertical="center"/>
    </xf>
    <xf numFmtId="0" fontId="13" fillId="0" borderId="18" xfId="22" applyFont="1" applyBorder="1" applyAlignment="1">
      <alignment horizontal="center" vertical="center"/>
    </xf>
    <xf numFmtId="229" fontId="12" fillId="4" borderId="57" xfId="0" applyNumberFormat="1" applyFont="1" applyFill="1" applyBorder="1" applyAlignment="1">
      <alignment/>
    </xf>
    <xf numFmtId="0" fontId="14" fillId="4" borderId="23" xfId="18" applyFont="1" applyFill="1" applyBorder="1" applyAlignment="1" applyProtection="1">
      <alignment horizontal="right" vertical="center"/>
      <protection/>
    </xf>
    <xf numFmtId="40" fontId="13" fillId="4" borderId="57" xfId="32" applyFont="1" applyFill="1" applyBorder="1" applyProtection="1">
      <alignment horizontal="right" vertical="center"/>
      <protection/>
    </xf>
    <xf numFmtId="0" fontId="16" fillId="0" borderId="15" xfId="18" applyFont="1" applyBorder="1" applyAlignment="1" quotePrefix="1">
      <alignment horizontal="left" vertical="center" wrapText="1"/>
    </xf>
    <xf numFmtId="0" fontId="13" fillId="0" borderId="18" xfId="18" applyFont="1" applyBorder="1" applyAlignment="1" applyProtection="1">
      <alignment horizontal="center" vertical="center"/>
      <protection/>
    </xf>
    <xf numFmtId="0" fontId="16" fillId="4" borderId="15" xfId="20" applyFont="1" applyFill="1" applyBorder="1" applyAlignment="1">
      <alignment horizontal="center" vertical="center" wrapText="1"/>
      <protection/>
    </xf>
    <xf numFmtId="0" fontId="13" fillId="0" borderId="63" xfId="18" applyFont="1" applyBorder="1" applyAlignment="1" applyProtection="1">
      <alignment horizontal="center" vertical="center"/>
      <protection/>
    </xf>
    <xf numFmtId="0" fontId="13" fillId="0" borderId="124" xfId="22" applyFont="1" applyBorder="1" applyAlignment="1">
      <alignment horizontal="centerContinuous" vertical="center"/>
    </xf>
    <xf numFmtId="40" fontId="13" fillId="0" borderId="16" xfId="18" applyNumberFormat="1" applyFont="1" applyBorder="1" applyProtection="1" quotePrefix="1">
      <alignment horizontal="left" vertical="center"/>
      <protection/>
    </xf>
    <xf numFmtId="0" fontId="14" fillId="4" borderId="53" xfId="22" applyFont="1" applyFill="1" applyBorder="1" applyAlignment="1">
      <alignment vertical="center"/>
    </xf>
    <xf numFmtId="40" fontId="13" fillId="0" borderId="137" xfId="32" applyFont="1" applyBorder="1" applyAlignment="1">
      <alignment horizontal="center" vertical="center"/>
    </xf>
    <xf numFmtId="0" fontId="13" fillId="0" borderId="63" xfId="18" applyFont="1" applyBorder="1" applyAlignment="1" applyProtection="1" quotePrefix="1">
      <alignment horizontal="center" vertical="center"/>
      <protection/>
    </xf>
    <xf numFmtId="40" fontId="13" fillId="0" borderId="138" xfId="32" applyFont="1" applyBorder="1" applyAlignment="1">
      <alignment vertical="center"/>
    </xf>
    <xf numFmtId="40" fontId="13" fillId="0" borderId="139" xfId="32" applyFont="1" applyBorder="1" applyAlignment="1">
      <alignment horizontal="center" vertical="center"/>
    </xf>
    <xf numFmtId="40" fontId="13" fillId="0" borderId="133" xfId="32" applyFont="1" applyBorder="1" applyAlignment="1">
      <alignment horizontal="center" vertical="center"/>
    </xf>
    <xf numFmtId="0" fontId="13" fillId="0" borderId="140" xfId="22" applyFont="1" applyBorder="1" applyAlignment="1">
      <alignment horizontal="center" vertical="center"/>
    </xf>
    <xf numFmtId="40" fontId="13" fillId="0" borderId="140" xfId="32" applyFont="1" applyBorder="1" applyAlignment="1">
      <alignment horizontal="center" vertical="center"/>
    </xf>
    <xf numFmtId="0" fontId="13" fillId="0" borderId="85" xfId="18" applyFont="1" applyBorder="1" applyAlignment="1" applyProtection="1">
      <alignment horizontal="center" vertical="center"/>
      <protection/>
    </xf>
    <xf numFmtId="40" fontId="13" fillId="0" borderId="140" xfId="32" applyFont="1" applyBorder="1" applyAlignment="1" applyProtection="1">
      <alignment horizontal="center" vertical="center"/>
      <protection/>
    </xf>
    <xf numFmtId="40" fontId="13" fillId="0" borderId="140" xfId="32" applyFont="1" applyBorder="1" applyProtection="1">
      <alignment horizontal="right" vertical="center"/>
      <protection/>
    </xf>
    <xf numFmtId="40" fontId="13" fillId="0" borderId="140" xfId="32" applyFont="1" applyBorder="1" applyProtection="1" quotePrefix="1">
      <alignment horizontal="right" vertical="center"/>
      <protection/>
    </xf>
    <xf numFmtId="0" fontId="13" fillId="0" borderId="85" xfId="18" applyFont="1" applyBorder="1" applyAlignment="1" quotePrefix="1">
      <alignment horizontal="center" vertical="center"/>
    </xf>
    <xf numFmtId="0" fontId="13" fillId="0" borderId="85" xfId="18" applyFont="1" applyBorder="1" applyAlignment="1">
      <alignment horizontal="center" vertical="center"/>
    </xf>
    <xf numFmtId="40" fontId="5" fillId="0" borderId="140" xfId="32" applyFont="1" applyBorder="1" applyAlignment="1" applyProtection="1">
      <alignment horizontal="center" vertical="center"/>
      <protection/>
    </xf>
    <xf numFmtId="0" fontId="13" fillId="0" borderId="85" xfId="18" applyFont="1" applyBorder="1">
      <alignment horizontal="left" vertical="center"/>
    </xf>
    <xf numFmtId="0" fontId="13" fillId="0" borderId="141" xfId="0" applyFont="1" applyBorder="1" applyAlignment="1">
      <alignment horizontal="center" vertical="center"/>
    </xf>
    <xf numFmtId="3" fontId="13" fillId="0" borderId="141" xfId="0" applyNumberFormat="1" applyFont="1" applyBorder="1" applyAlignment="1" quotePrefix="1">
      <alignment horizontal="right" vertical="center"/>
    </xf>
    <xf numFmtId="40" fontId="13" fillId="0" borderId="16" xfId="32" applyFont="1" applyBorder="1" applyAlignment="1" quotePrefix="1">
      <alignment horizontal="center" vertical="center"/>
    </xf>
    <xf numFmtId="0" fontId="13" fillId="0" borderId="22" xfId="15" applyFont="1" applyBorder="1" applyAlignment="1" quotePrefix="1">
      <alignment horizontal="left" vertical="center"/>
      <protection/>
    </xf>
    <xf numFmtId="0" fontId="13" fillId="0" borderId="85" xfId="18" applyFont="1" applyBorder="1" applyAlignment="1" applyProtection="1">
      <alignment horizontal="centerContinuous" vertical="center" wrapText="1"/>
      <protection/>
    </xf>
    <xf numFmtId="40" fontId="13" fillId="0" borderId="124" xfId="32" applyFont="1" applyBorder="1" applyAlignment="1" applyProtection="1">
      <alignment horizontal="centerContinuous" vertical="center"/>
      <protection/>
    </xf>
    <xf numFmtId="40" fontId="13" fillId="0" borderId="124" xfId="32" applyNumberFormat="1" applyFont="1" applyBorder="1" applyAlignment="1" applyProtection="1">
      <alignment horizontal="centerContinuous" vertical="center"/>
      <protection/>
    </xf>
    <xf numFmtId="0" fontId="14" fillId="0" borderId="135" xfId="22" applyFont="1" applyBorder="1" applyAlignment="1" quotePrefix="1">
      <alignment horizontal="left" vertical="center"/>
    </xf>
    <xf numFmtId="40" fontId="47" fillId="0" borderId="135" xfId="32" applyFont="1" applyBorder="1" applyAlignment="1">
      <alignment horizontal="center" vertical="center"/>
    </xf>
    <xf numFmtId="40" fontId="13" fillId="0" borderId="142" xfId="32" applyFont="1" applyBorder="1" applyAlignment="1">
      <alignment vertical="center"/>
    </xf>
    <xf numFmtId="40" fontId="13" fillId="0" borderId="143" xfId="32" applyFont="1" applyBorder="1" applyAlignment="1">
      <alignment vertical="center"/>
    </xf>
    <xf numFmtId="0" fontId="13" fillId="0" borderId="56" xfId="18" applyFont="1" applyBorder="1" applyAlignment="1" applyProtection="1">
      <alignment horizontal="center" vertical="center"/>
      <protection/>
    </xf>
    <xf numFmtId="40" fontId="13" fillId="0" borderId="56" xfId="32" applyFont="1" applyBorder="1" applyProtection="1" quotePrefix="1">
      <alignment horizontal="right" vertical="center"/>
      <protection/>
    </xf>
    <xf numFmtId="0" fontId="13" fillId="0" borderId="56" xfId="18" applyFont="1" applyBorder="1" applyAlignment="1" quotePrefix="1">
      <alignment horizontal="center" vertical="center"/>
    </xf>
    <xf numFmtId="0" fontId="13" fillId="0" borderId="56" xfId="18" applyFont="1" applyBorder="1" applyAlignment="1" quotePrefix="1">
      <alignment horizontal="center" vertical="center" wrapText="1"/>
    </xf>
    <xf numFmtId="40" fontId="14" fillId="0" borderId="23" xfId="32" applyFont="1" applyBorder="1" applyAlignment="1" quotePrefix="1">
      <alignment horizontal="left" vertical="center"/>
    </xf>
    <xf numFmtId="40" fontId="15" fillId="0" borderId="97" xfId="32" applyFont="1" applyBorder="1" applyAlignment="1" applyProtection="1">
      <alignment horizontal="center" vertical="center"/>
      <protection/>
    </xf>
    <xf numFmtId="40" fontId="15" fillId="0" borderId="97" xfId="32" applyFont="1" applyBorder="1" applyAlignment="1" applyProtection="1" quotePrefix="1">
      <alignment horizontal="center" vertical="center"/>
      <protection/>
    </xf>
    <xf numFmtId="40" fontId="66" fillId="0" borderId="97" xfId="32" applyFont="1" applyBorder="1" applyAlignment="1" applyProtection="1">
      <alignment horizontal="center" vertical="center"/>
      <protection/>
    </xf>
    <xf numFmtId="40" fontId="13" fillId="4" borderId="46" xfId="23" applyNumberFormat="1" applyFont="1" applyFill="1" applyBorder="1" applyAlignment="1">
      <alignment horizontal="distributed" vertical="center"/>
    </xf>
    <xf numFmtId="0" fontId="13" fillId="0" borderId="24" xfId="18" applyFont="1" applyBorder="1" applyAlignment="1" applyProtection="1">
      <alignment horizontal="center" vertical="center"/>
      <protection/>
    </xf>
    <xf numFmtId="0" fontId="16" fillId="0" borderId="15" xfId="18" applyFont="1" applyBorder="1" applyAlignment="1" applyProtection="1">
      <alignment horizontal="left" vertical="center" wrapText="1"/>
      <protection/>
    </xf>
    <xf numFmtId="4" fontId="16" fillId="0" borderId="144" xfId="20" applyNumberFormat="1" applyFont="1" applyBorder="1" applyAlignment="1">
      <alignment horizontal="center" vertical="center"/>
      <protection/>
    </xf>
    <xf numFmtId="0" fontId="16" fillId="0" borderId="15" xfId="18" applyFont="1" applyBorder="1" applyAlignment="1" quotePrefix="1">
      <alignment horizontal="center" vertical="center"/>
    </xf>
    <xf numFmtId="40" fontId="5" fillId="0" borderId="15" xfId="32" applyFont="1" applyBorder="1" applyAlignment="1" applyProtection="1">
      <alignment horizontal="center" vertical="center"/>
      <protection/>
    </xf>
    <xf numFmtId="0" fontId="16" fillId="0" borderId="15" xfId="18" applyFont="1" applyBorder="1" applyAlignment="1">
      <alignment horizontal="left" vertical="center"/>
    </xf>
    <xf numFmtId="40" fontId="16" fillId="0" borderId="16" xfId="32" applyFont="1" applyBorder="1" applyAlignment="1" quotePrefix="1">
      <alignment horizontal="left" vertical="center"/>
    </xf>
    <xf numFmtId="40" fontId="13" fillId="0" borderId="23" xfId="32" applyFont="1" applyBorder="1" applyAlignment="1" quotePrefix="1">
      <alignment horizontal="left" vertical="center"/>
    </xf>
    <xf numFmtId="40" fontId="13" fillId="0" borderId="23" xfId="32" applyFont="1" applyBorder="1" applyAlignment="1">
      <alignment horizontal="right" vertical="center"/>
    </xf>
    <xf numFmtId="0" fontId="5" fillId="0" borderId="61" xfId="22" applyFont="1" applyBorder="1" applyAlignment="1">
      <alignment horizontal="centerContinuous" vertical="center"/>
    </xf>
    <xf numFmtId="0" fontId="13" fillId="0" borderId="54" xfId="18" applyFont="1" applyBorder="1" applyAlignment="1" applyProtection="1">
      <alignment horizontal="distributed" vertical="center" wrapText="1"/>
      <protection/>
    </xf>
    <xf numFmtId="40" fontId="5" fillId="0" borderId="54" xfId="32" applyFont="1" applyBorder="1" applyAlignment="1" applyProtection="1">
      <alignment horizontal="center" vertical="center"/>
      <protection/>
    </xf>
    <xf numFmtId="40" fontId="13" fillId="0" borderId="17" xfId="32" applyFont="1" applyBorder="1" applyAlignment="1" applyProtection="1" quotePrefix="1">
      <alignment horizontal="center" vertical="center"/>
      <protection/>
    </xf>
    <xf numFmtId="0" fontId="16" fillId="0" borderId="54" xfId="18" applyFont="1" applyBorder="1" applyAlignment="1" applyProtection="1">
      <alignment horizontal="center" vertical="center"/>
      <protection/>
    </xf>
    <xf numFmtId="0" fontId="16" fillId="0" borderId="54" xfId="22" applyFont="1" applyBorder="1" applyAlignment="1">
      <alignment horizontal="center" vertical="center"/>
    </xf>
    <xf numFmtId="40" fontId="13" fillId="0" borderId="54" xfId="32" applyFont="1" applyBorder="1" applyAlignment="1" applyProtection="1" quotePrefix="1">
      <alignment horizontal="right" vertical="center"/>
      <protection/>
    </xf>
    <xf numFmtId="0" fontId="16" fillId="0" borderId="54" xfId="18" applyFont="1" applyBorder="1" applyAlignment="1" applyProtection="1" quotePrefix="1">
      <alignment horizontal="center" vertical="center"/>
      <protection/>
    </xf>
    <xf numFmtId="40" fontId="13" fillId="0" borderId="17" xfId="32" applyFont="1" applyBorder="1" applyAlignment="1" applyProtection="1">
      <alignment horizontal="left" vertical="center"/>
      <protection/>
    </xf>
    <xf numFmtId="40" fontId="18" fillId="0" borderId="17" xfId="32" applyFont="1" applyBorder="1" applyAlignment="1" applyProtection="1">
      <alignment horizontal="center" vertical="center"/>
      <protection/>
    </xf>
    <xf numFmtId="40" fontId="16" fillId="0" borderId="17" xfId="32" applyFont="1" applyBorder="1" applyAlignment="1" applyProtection="1">
      <alignment horizontal="center" vertical="center"/>
      <protection/>
    </xf>
    <xf numFmtId="0" fontId="13" fillId="0" borderId="54" xfId="18" applyFont="1" applyBorder="1" applyAlignment="1" quotePrefix="1">
      <alignment horizontal="left" vertical="center"/>
    </xf>
    <xf numFmtId="0" fontId="13" fillId="0" borderId="54" xfId="18" applyFont="1" applyBorder="1" applyAlignment="1">
      <alignment horizontal="left" vertical="center"/>
    </xf>
    <xf numFmtId="0" fontId="13" fillId="0" borderId="17" xfId="18" applyFont="1" applyBorder="1" applyAlignment="1" applyProtection="1">
      <alignment horizontal="left" vertical="center"/>
      <protection/>
    </xf>
    <xf numFmtId="176" fontId="4" fillId="0" borderId="70" xfId="25" applyNumberFormat="1" applyFont="1" applyBorder="1" applyAlignment="1" applyProtection="1">
      <alignment horizontal="left" vertical="center"/>
      <protection/>
    </xf>
    <xf numFmtId="214" fontId="4" fillId="0" borderId="70" xfId="25" applyNumberFormat="1" applyFont="1" applyBorder="1" applyAlignment="1" applyProtection="1">
      <alignment horizontal="left" vertical="center"/>
      <protection/>
    </xf>
    <xf numFmtId="4" fontId="5" fillId="0" borderId="71" xfId="25" applyNumberFormat="1" applyFont="1" applyBorder="1" applyAlignment="1" applyProtection="1" quotePrefix="1">
      <alignment horizontal="right" vertical="center"/>
      <protection/>
    </xf>
    <xf numFmtId="0" fontId="0" fillId="0" borderId="89" xfId="25" applyFont="1" applyBorder="1" applyAlignment="1" applyProtection="1">
      <alignment horizontal="center" vertical="center"/>
      <protection/>
    </xf>
    <xf numFmtId="176" fontId="4" fillId="0" borderId="89" xfId="25" applyNumberFormat="1" applyFont="1" applyBorder="1" applyAlignment="1" applyProtection="1">
      <alignment horizontal="left" vertical="center"/>
      <protection/>
    </xf>
    <xf numFmtId="182" fontId="5" fillId="0" borderId="89" xfId="25" applyNumberFormat="1" applyFont="1" applyBorder="1" applyAlignment="1" applyProtection="1" quotePrefix="1">
      <alignment horizontal="right" vertical="center"/>
      <protection/>
    </xf>
    <xf numFmtId="190" fontId="5" fillId="0" borderId="89" xfId="0" applyNumberFormat="1" applyFont="1" applyBorder="1" applyAlignment="1">
      <alignment vertical="center"/>
    </xf>
    <xf numFmtId="201" fontId="5" fillId="0" borderId="89" xfId="25" applyNumberFormat="1" applyFont="1" applyBorder="1" applyAlignment="1" applyProtection="1">
      <alignment horizontal="right" vertical="center"/>
      <protection/>
    </xf>
    <xf numFmtId="190" fontId="5" fillId="0" borderId="99" xfId="0" applyNumberFormat="1" applyFont="1" applyBorder="1" applyAlignment="1">
      <alignment vertical="center"/>
    </xf>
    <xf numFmtId="214" fontId="4" fillId="0" borderId="89" xfId="25" applyNumberFormat="1" applyFont="1" applyBorder="1" applyAlignment="1" applyProtection="1">
      <alignment horizontal="left" vertical="center"/>
      <protection/>
    </xf>
    <xf numFmtId="185" fontId="4" fillId="0" borderId="89" xfId="25" applyNumberFormat="1" applyFont="1" applyBorder="1" applyAlignment="1" applyProtection="1">
      <alignment horizontal="left" vertical="center"/>
      <protection/>
    </xf>
    <xf numFmtId="0" fontId="13" fillId="4" borderId="18" xfId="17" applyFont="1" applyFill="1" applyBorder="1" applyAlignment="1">
      <alignment horizontal="center" vertical="center"/>
      <protection/>
    </xf>
    <xf numFmtId="43" fontId="39" fillId="4" borderId="24" xfId="30" applyFont="1" applyFill="1" applyBorder="1" applyAlignment="1">
      <alignment horizontal="center" vertical="center"/>
    </xf>
    <xf numFmtId="40" fontId="13" fillId="4" borderId="54" xfId="32" applyFont="1" applyFill="1" applyBorder="1" applyAlignment="1">
      <alignment horizontal="center" vertical="center"/>
    </xf>
    <xf numFmtId="40" fontId="13" fillId="4" borderId="17" xfId="32" applyFont="1" applyFill="1" applyBorder="1" applyAlignment="1">
      <alignment horizontal="center" vertical="center"/>
    </xf>
    <xf numFmtId="43" fontId="13" fillId="4" borderId="15" xfId="30" applyFont="1" applyFill="1" applyBorder="1" applyAlignment="1">
      <alignment horizontal="right"/>
    </xf>
    <xf numFmtId="43" fontId="13" fillId="4" borderId="15" xfId="30" applyFont="1" applyFill="1" applyBorder="1" applyAlignment="1">
      <alignment horizontal="right" vertical="center"/>
    </xf>
    <xf numFmtId="0" fontId="13" fillId="4" borderId="15" xfId="18" applyFont="1" applyFill="1" applyBorder="1" applyAlignment="1" applyProtection="1" quotePrefix="1">
      <alignment horizontal="center" vertical="distributed"/>
      <protection/>
    </xf>
    <xf numFmtId="43" fontId="13" fillId="4" borderId="15" xfId="30" applyFont="1" applyFill="1" applyBorder="1" applyAlignment="1">
      <alignment horizontal="center" vertical="center"/>
    </xf>
    <xf numFmtId="40" fontId="16" fillId="4" borderId="16" xfId="32" applyFont="1" applyFill="1" applyBorder="1" applyAlignment="1" applyProtection="1">
      <alignment horizontal="center" vertical="center" wrapText="1"/>
      <protection/>
    </xf>
    <xf numFmtId="0" fontId="13" fillId="4" borderId="15" xfId="18" applyFont="1" applyFill="1" applyBorder="1" applyAlignment="1" quotePrefix="1">
      <alignment horizontal="center" vertical="center"/>
    </xf>
    <xf numFmtId="2" fontId="13" fillId="4" borderId="15" xfId="30" applyNumberFormat="1" applyFont="1" applyFill="1" applyBorder="1" applyAlignment="1">
      <alignment horizontal="right"/>
    </xf>
    <xf numFmtId="0" fontId="13" fillId="4" borderId="56" xfId="22" applyFont="1" applyFill="1" applyBorder="1" applyAlignment="1">
      <alignment horizontal="right" vertical="center"/>
    </xf>
    <xf numFmtId="190" fontId="13" fillId="4" borderId="56" xfId="22" applyNumberFormat="1" applyFont="1" applyFill="1" applyBorder="1" applyAlignment="1">
      <alignment horizontal="right" vertical="center"/>
    </xf>
    <xf numFmtId="43" fontId="13" fillId="4" borderId="15" xfId="30" applyFont="1" applyFill="1" applyBorder="1" applyAlignment="1">
      <alignment/>
    </xf>
    <xf numFmtId="40" fontId="13" fillId="4" borderId="23" xfId="32" applyFont="1" applyFill="1" applyBorder="1" applyAlignment="1">
      <alignment horizontal="center" vertical="center"/>
    </xf>
    <xf numFmtId="40" fontId="13" fillId="0" borderId="56" xfId="32" applyNumberFormat="1" applyFont="1" applyBorder="1" applyProtection="1">
      <alignment horizontal="right" vertical="center"/>
      <protection/>
    </xf>
    <xf numFmtId="0" fontId="13" fillId="0" borderId="60" xfId="17" applyFont="1" applyBorder="1" applyAlignment="1">
      <alignment horizontal="center" vertical="center"/>
      <protection/>
    </xf>
    <xf numFmtId="0" fontId="16" fillId="0" borderId="15" xfId="18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vertical="center"/>
    </xf>
    <xf numFmtId="40" fontId="14" fillId="0" borderId="0" xfId="32" applyFont="1" applyBorder="1" applyAlignment="1">
      <alignment horizontal="right" vertical="center"/>
    </xf>
    <xf numFmtId="40" fontId="14" fillId="0" borderId="0" xfId="32" applyFont="1" applyBorder="1" applyAlignment="1">
      <alignment horizontal="center" vertical="center"/>
    </xf>
    <xf numFmtId="0" fontId="14" fillId="0" borderId="0" xfId="22" applyFont="1" applyBorder="1" applyAlignment="1">
      <alignment vertical="center"/>
    </xf>
    <xf numFmtId="40" fontId="13" fillId="0" borderId="0" xfId="32" applyFont="1" applyBorder="1" applyAlignment="1">
      <alignment vertical="center"/>
    </xf>
    <xf numFmtId="0" fontId="14" fillId="0" borderId="0" xfId="22" applyFont="1" applyBorder="1" applyAlignment="1">
      <alignment horizontal="left" vertical="center"/>
    </xf>
    <xf numFmtId="0" fontId="13" fillId="0" borderId="18" xfId="17" applyFont="1" applyFill="1" applyBorder="1" applyAlignment="1">
      <alignment horizontal="distributed" vertical="center"/>
      <protection/>
    </xf>
    <xf numFmtId="40" fontId="13" fillId="0" borderId="0" xfId="32" applyFont="1" applyFill="1" applyBorder="1" applyAlignment="1">
      <alignment vertical="center" wrapText="1"/>
    </xf>
    <xf numFmtId="38" fontId="13" fillId="0" borderId="15" xfId="20" applyNumberFormat="1" applyFont="1" applyBorder="1" applyAlignment="1">
      <alignment horizontal="right" vertical="center"/>
      <protection/>
    </xf>
    <xf numFmtId="4" fontId="39" fillId="0" borderId="44" xfId="0" applyNumberFormat="1" applyFont="1" applyBorder="1" applyAlignment="1">
      <alignment horizontal="center" vertical="center"/>
    </xf>
    <xf numFmtId="185" fontId="13" fillId="0" borderId="44" xfId="20" applyNumberFormat="1" applyFont="1" applyBorder="1" applyAlignment="1">
      <alignment horizontal="right" vertical="center"/>
      <protection/>
    </xf>
    <xf numFmtId="38" fontId="13" fillId="0" borderId="44" xfId="20" applyNumberFormat="1" applyFont="1" applyBorder="1" applyAlignment="1">
      <alignment vertical="center"/>
      <protection/>
    </xf>
    <xf numFmtId="3" fontId="13" fillId="0" borderId="44" xfId="20" applyNumberFormat="1" applyFont="1" applyBorder="1" applyAlignment="1">
      <alignment vertical="center"/>
      <protection/>
    </xf>
    <xf numFmtId="40" fontId="16" fillId="0" borderId="25" xfId="32" applyFont="1" applyBorder="1" applyAlignment="1" applyProtection="1">
      <alignment horizontal="center" vertical="center"/>
      <protection/>
    </xf>
    <xf numFmtId="0" fontId="45" fillId="4" borderId="5" xfId="18" applyFont="1" applyFill="1" applyBorder="1">
      <alignment horizontal="left" vertical="center"/>
    </xf>
    <xf numFmtId="0" fontId="45" fillId="4" borderId="17" xfId="18" applyFont="1" applyFill="1" applyBorder="1" applyProtection="1" quotePrefix="1">
      <alignment horizontal="left" vertical="center"/>
      <protection/>
    </xf>
    <xf numFmtId="0" fontId="67" fillId="4" borderId="5" xfId="22" applyFont="1" applyFill="1" applyBorder="1" applyAlignment="1">
      <alignment horizontal="center" vertical="center"/>
    </xf>
    <xf numFmtId="40" fontId="67" fillId="4" borderId="5" xfId="32" applyFont="1" applyFill="1" applyBorder="1" applyAlignment="1">
      <alignment horizontal="left" vertical="center"/>
    </xf>
    <xf numFmtId="40" fontId="67" fillId="4" borderId="5" xfId="32" applyFont="1" applyFill="1" applyBorder="1" applyAlignment="1">
      <alignment horizontal="right" vertical="center"/>
    </xf>
    <xf numFmtId="40" fontId="45" fillId="4" borderId="17" xfId="32" applyFont="1" applyFill="1" applyBorder="1" applyAlignment="1">
      <alignment vertical="center"/>
    </xf>
    <xf numFmtId="0" fontId="45" fillId="4" borderId="5" xfId="22" applyFont="1" applyFill="1" applyBorder="1" applyAlignment="1">
      <alignment horizontal="justify"/>
    </xf>
    <xf numFmtId="40" fontId="45" fillId="4" borderId="5" xfId="32" applyFont="1" applyFill="1" applyBorder="1" applyAlignment="1">
      <alignment horizontal="center" vertical="center"/>
    </xf>
    <xf numFmtId="40" fontId="45" fillId="4" borderId="17" xfId="32" applyFont="1" applyFill="1" applyBorder="1" applyAlignment="1">
      <alignment horizontal="center" vertical="center"/>
    </xf>
    <xf numFmtId="0" fontId="44" fillId="4" borderId="22" xfId="15" applyFont="1" applyFill="1" applyBorder="1" applyAlignment="1">
      <alignment horizontal="left" vertical="center"/>
      <protection/>
    </xf>
    <xf numFmtId="0" fontId="44" fillId="4" borderId="5" xfId="22" applyFont="1" applyFill="1" applyBorder="1" applyAlignment="1" applyProtection="1">
      <alignment/>
      <protection/>
    </xf>
    <xf numFmtId="0" fontId="68" fillId="4" borderId="5" xfId="22" applyFont="1" applyFill="1" applyBorder="1" applyAlignment="1" applyProtection="1">
      <alignment horizontal="right"/>
      <protection/>
    </xf>
    <xf numFmtId="0" fontId="39" fillId="4" borderId="17" xfId="22" applyFont="1" applyFill="1" applyBorder="1" applyAlignment="1" applyProtection="1">
      <alignment horizontal="right"/>
      <protection/>
    </xf>
    <xf numFmtId="183" fontId="45" fillId="4" borderId="5" xfId="32" applyNumberFormat="1" applyFont="1" applyFill="1" applyBorder="1" applyProtection="1" quotePrefix="1">
      <alignment horizontal="right" vertical="center"/>
      <protection/>
    </xf>
    <xf numFmtId="40" fontId="45" fillId="4" borderId="17" xfId="32" applyFont="1" applyFill="1" applyBorder="1" applyAlignment="1" applyProtection="1">
      <alignment horizontal="left" vertical="center" wrapText="1"/>
      <protection/>
    </xf>
    <xf numFmtId="0" fontId="44" fillId="4" borderId="22" xfId="22" applyFont="1" applyFill="1" applyBorder="1" applyAlignment="1">
      <alignment horizontal="left" vertical="center"/>
    </xf>
    <xf numFmtId="0" fontId="44" fillId="4" borderId="22" xfId="15" applyFont="1" applyFill="1" applyBorder="1">
      <alignment horizontal="left" vertical="center"/>
      <protection/>
    </xf>
    <xf numFmtId="0" fontId="44" fillId="4" borderId="53" xfId="22" applyFont="1" applyFill="1" applyBorder="1" applyAlignment="1" quotePrefix="1">
      <alignment horizontal="left" vertical="center"/>
    </xf>
    <xf numFmtId="0" fontId="45" fillId="4" borderId="23" xfId="22" applyFont="1" applyFill="1" applyBorder="1" applyAlignment="1" applyProtection="1">
      <alignment horizontal="left" vertical="center"/>
      <protection/>
    </xf>
    <xf numFmtId="0" fontId="45" fillId="4" borderId="23" xfId="18" applyFont="1" applyFill="1" applyBorder="1" applyProtection="1">
      <alignment horizontal="left" vertical="center"/>
      <protection/>
    </xf>
    <xf numFmtId="40" fontId="45" fillId="4" borderId="23" xfId="32" applyFont="1" applyFill="1" applyBorder="1" applyAlignment="1" applyProtection="1">
      <alignment horizontal="center" vertical="center"/>
      <protection/>
    </xf>
    <xf numFmtId="40" fontId="45" fillId="4" borderId="23" xfId="32" applyFont="1" applyFill="1" applyBorder="1" applyProtection="1" quotePrefix="1">
      <alignment horizontal="right" vertical="center"/>
      <protection/>
    </xf>
    <xf numFmtId="40" fontId="45" fillId="4" borderId="23" xfId="32" applyFont="1" applyFill="1" applyBorder="1" applyProtection="1">
      <alignment horizontal="right" vertical="center"/>
      <protection/>
    </xf>
    <xf numFmtId="40" fontId="45" fillId="4" borderId="106" xfId="32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quotePrefix="1">
      <alignment horizontal="left" vertical="center"/>
    </xf>
    <xf numFmtId="0" fontId="12" fillId="0" borderId="53" xfId="0" applyFont="1" applyFill="1" applyBorder="1" applyAlignment="1" quotePrefix="1">
      <alignment horizontal="left" vertical="center"/>
    </xf>
    <xf numFmtId="0" fontId="15" fillId="0" borderId="23" xfId="22" applyFont="1" applyBorder="1" applyAlignment="1">
      <alignment vertical="center"/>
    </xf>
    <xf numFmtId="0" fontId="15" fillId="0" borderId="23" xfId="22" applyFont="1" applyBorder="1" applyAlignment="1">
      <alignment horizontal="center" vertical="center"/>
    </xf>
    <xf numFmtId="40" fontId="15" fillId="0" borderId="23" xfId="32" applyFont="1" applyBorder="1" applyAlignment="1">
      <alignment vertical="center"/>
    </xf>
    <xf numFmtId="40" fontId="15" fillId="4" borderId="106" xfId="32" applyFont="1" applyFill="1" applyBorder="1" applyAlignment="1">
      <alignment horizontal="center" vertical="center"/>
    </xf>
    <xf numFmtId="40" fontId="15" fillId="4" borderId="5" xfId="32" applyFont="1" applyFill="1" applyBorder="1" applyAlignment="1">
      <alignment horizontal="centerContinuous" vertical="center"/>
    </xf>
    <xf numFmtId="40" fontId="15" fillId="4" borderId="17" xfId="32" applyFont="1" applyFill="1" applyBorder="1" applyAlignment="1">
      <alignment horizontal="centerContinuous" vertical="center"/>
    </xf>
    <xf numFmtId="0" fontId="15" fillId="4" borderId="5" xfId="23" applyFont="1" applyFill="1" applyBorder="1" applyAlignment="1" applyProtection="1">
      <alignment horizontal="left" vertical="center"/>
      <protection/>
    </xf>
    <xf numFmtId="0" fontId="16" fillId="4" borderId="5" xfId="18" applyFont="1" applyFill="1" applyBorder="1" applyAlignment="1" applyProtection="1">
      <alignment horizontal="left" vertical="center" wrapText="1"/>
      <protection/>
    </xf>
    <xf numFmtId="40" fontId="13" fillId="0" borderId="44" xfId="32" applyNumberFormat="1" applyFont="1" applyBorder="1" applyAlignment="1">
      <alignment vertical="center"/>
    </xf>
    <xf numFmtId="4" fontId="12" fillId="4" borderId="22" xfId="21" applyNumberFormat="1" applyFont="1" applyFill="1" applyBorder="1" applyAlignment="1" quotePrefix="1">
      <alignment horizontal="left" vertical="center"/>
      <protection/>
    </xf>
    <xf numFmtId="191" fontId="13" fillId="4" borderId="0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left" vertical="center"/>
    </xf>
    <xf numFmtId="0" fontId="15" fillId="0" borderId="0" xfId="22" applyFont="1" applyBorder="1" applyAlignment="1">
      <alignment vertical="center"/>
    </xf>
    <xf numFmtId="0" fontId="15" fillId="0" borderId="0" xfId="22" applyFont="1" applyBorder="1" applyAlignment="1">
      <alignment horizontal="center" vertical="center"/>
    </xf>
    <xf numFmtId="40" fontId="15" fillId="0" borderId="0" xfId="32" applyFont="1" applyBorder="1" applyAlignment="1">
      <alignment vertical="center"/>
    </xf>
    <xf numFmtId="40" fontId="15" fillId="4" borderId="0" xfId="32" applyFont="1" applyFill="1" applyBorder="1" applyAlignment="1">
      <alignment horizontal="center" vertical="center"/>
    </xf>
    <xf numFmtId="0" fontId="12" fillId="4" borderId="19" xfId="15" applyFont="1" applyFill="1" applyBorder="1" applyAlignment="1">
      <alignment horizontal="left" vertical="center"/>
      <protection/>
    </xf>
    <xf numFmtId="0" fontId="15" fillId="4" borderId="20" xfId="23" applyFont="1" applyFill="1" applyBorder="1" applyAlignment="1">
      <alignment vertical="center"/>
    </xf>
    <xf numFmtId="0" fontId="26" fillId="4" borderId="20" xfId="23" applyFont="1" applyFill="1" applyBorder="1" applyAlignment="1">
      <alignment horizontal="center" vertical="center"/>
    </xf>
    <xf numFmtId="40" fontId="26" fillId="4" borderId="20" xfId="32" applyFont="1" applyFill="1" applyBorder="1" applyAlignment="1">
      <alignment horizontal="left" vertical="center"/>
    </xf>
    <xf numFmtId="40" fontId="26" fillId="4" borderId="20" xfId="32" applyFont="1" applyFill="1" applyBorder="1" applyAlignment="1">
      <alignment horizontal="right" vertical="center"/>
    </xf>
    <xf numFmtId="40" fontId="15" fillId="4" borderId="20" xfId="32" applyFont="1" applyFill="1" applyBorder="1" applyAlignment="1">
      <alignment vertical="center"/>
    </xf>
    <xf numFmtId="40" fontId="15" fillId="4" borderId="21" xfId="32" applyFont="1" applyFill="1" applyBorder="1" applyAlignment="1">
      <alignment vertical="center"/>
    </xf>
    <xf numFmtId="0" fontId="12" fillId="4" borderId="53" xfId="23" applyFont="1" applyFill="1" applyBorder="1" applyAlignment="1" quotePrefix="1">
      <alignment horizontal="left" vertical="center"/>
    </xf>
    <xf numFmtId="0" fontId="12" fillId="4" borderId="23" xfId="23" applyFont="1" applyFill="1" applyBorder="1" applyAlignment="1" quotePrefix="1">
      <alignment horizontal="left" vertical="center"/>
    </xf>
    <xf numFmtId="0" fontId="12" fillId="4" borderId="23" xfId="23" applyFont="1" applyFill="1" applyBorder="1" applyAlignment="1">
      <alignment vertical="center"/>
    </xf>
    <xf numFmtId="0" fontId="12" fillId="4" borderId="23" xfId="23" applyFont="1" applyFill="1" applyBorder="1" applyAlignment="1">
      <alignment horizontal="center" vertical="center"/>
    </xf>
    <xf numFmtId="40" fontId="15" fillId="4" borderId="23" xfId="32" applyFont="1" applyFill="1" applyBorder="1" applyProtection="1">
      <alignment horizontal="right" vertical="center"/>
      <protection/>
    </xf>
    <xf numFmtId="40" fontId="15" fillId="4" borderId="23" xfId="32" applyFont="1" applyFill="1" applyBorder="1" applyProtection="1" quotePrefix="1">
      <alignment horizontal="right" vertical="center"/>
      <protection/>
    </xf>
    <xf numFmtId="0" fontId="15" fillId="4" borderId="106" xfId="18" applyFont="1" applyFill="1" applyBorder="1" applyProtection="1">
      <alignment horizontal="left" vertical="center"/>
      <protection/>
    </xf>
    <xf numFmtId="0" fontId="12" fillId="4" borderId="19" xfId="23" applyFont="1" applyFill="1" applyBorder="1" applyAlignment="1" quotePrefix="1">
      <alignment horizontal="left" vertical="center"/>
    </xf>
    <xf numFmtId="0" fontId="12" fillId="4" borderId="20" xfId="23" applyFont="1" applyFill="1" applyBorder="1" applyAlignment="1" quotePrefix="1">
      <alignment horizontal="left" vertical="center"/>
    </xf>
    <xf numFmtId="0" fontId="12" fillId="4" borderId="20" xfId="23" applyFont="1" applyFill="1" applyBorder="1" applyAlignment="1">
      <alignment vertical="center"/>
    </xf>
    <xf numFmtId="0" fontId="12" fillId="4" borderId="20" xfId="23" applyFont="1" applyFill="1" applyBorder="1" applyAlignment="1">
      <alignment horizontal="center" vertical="center"/>
    </xf>
    <xf numFmtId="40" fontId="15" fillId="4" borderId="20" xfId="32" applyFont="1" applyFill="1" applyBorder="1" applyProtection="1">
      <alignment horizontal="right" vertical="center"/>
      <protection/>
    </xf>
    <xf numFmtId="40" fontId="15" fillId="4" borderId="20" xfId="32" applyFont="1" applyFill="1" applyBorder="1" applyProtection="1" quotePrefix="1">
      <alignment horizontal="right" vertical="center"/>
      <protection/>
    </xf>
    <xf numFmtId="0" fontId="15" fillId="4" borderId="21" xfId="18" applyFont="1" applyFill="1" applyBorder="1" applyProtection="1">
      <alignment horizontal="left" vertical="center"/>
      <protection/>
    </xf>
    <xf numFmtId="4" fontId="39" fillId="0" borderId="44" xfId="0" applyNumberFormat="1" applyFont="1" applyBorder="1" applyAlignment="1">
      <alignment horizontal="distributed" vertical="center"/>
    </xf>
    <xf numFmtId="4" fontId="39" fillId="0" borderId="18" xfId="0" applyNumberFormat="1" applyFont="1" applyBorder="1" applyAlignment="1">
      <alignment horizontal="distributed" vertical="center"/>
    </xf>
    <xf numFmtId="0" fontId="69" fillId="0" borderId="61" xfId="22" applyFont="1" applyBorder="1" applyAlignment="1">
      <alignment horizontal="centerContinuous" vertical="center"/>
    </xf>
    <xf numFmtId="40" fontId="5" fillId="0" borderId="54" xfId="32" applyFont="1" applyBorder="1" applyAlignment="1" applyProtection="1">
      <alignment horizontal="right" vertical="center"/>
      <protection/>
    </xf>
    <xf numFmtId="0" fontId="28" fillId="0" borderId="24" xfId="18" applyFont="1" applyBorder="1" applyAlignment="1" applyProtection="1">
      <alignment horizontal="center" vertical="center"/>
      <protection/>
    </xf>
    <xf numFmtId="4" fontId="13" fillId="4" borderId="46" xfId="23" applyNumberFormat="1" applyFont="1" applyFill="1" applyBorder="1" applyAlignment="1">
      <alignment horizontal="distributed" vertical="center"/>
    </xf>
    <xf numFmtId="0" fontId="16" fillId="0" borderId="15" xfId="0" applyFont="1" applyBorder="1" applyAlignment="1" applyProtection="1">
      <alignment horizontal="right" vertical="center"/>
      <protection/>
    </xf>
    <xf numFmtId="194" fontId="12" fillId="4" borderId="0" xfId="0" applyNumberFormat="1" applyFont="1" applyFill="1" applyAlignment="1">
      <alignment vertical="center"/>
    </xf>
    <xf numFmtId="188" fontId="39" fillId="0" borderId="45" xfId="30" applyNumberFormat="1" applyFont="1" applyBorder="1" applyAlignment="1" applyProtection="1">
      <alignment horizontal="right" vertical="center"/>
      <protection/>
    </xf>
    <xf numFmtId="189" fontId="39" fillId="0" borderId="45" xfId="0" applyNumberFormat="1" applyFont="1" applyBorder="1" applyAlignment="1">
      <alignment vertical="center"/>
    </xf>
    <xf numFmtId="0" fontId="13" fillId="4" borderId="1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wrapText="1"/>
    </xf>
    <xf numFmtId="0" fontId="15" fillId="0" borderId="15" xfId="18" applyFont="1" applyBorder="1" applyProtection="1">
      <alignment horizontal="left" vertical="center"/>
      <protection/>
    </xf>
    <xf numFmtId="40" fontId="15" fillId="0" borderId="15" xfId="32" applyFont="1" applyBorder="1" applyProtection="1" quotePrefix="1">
      <alignment horizontal="right" vertical="center"/>
      <protection/>
    </xf>
    <xf numFmtId="0" fontId="15" fillId="0" borderId="22" xfId="22" applyFont="1" applyBorder="1" applyAlignment="1">
      <alignment horizontal="left" vertical="center"/>
    </xf>
    <xf numFmtId="0" fontId="15" fillId="0" borderId="5" xfId="22" applyFont="1" applyBorder="1" applyAlignment="1" applyProtection="1">
      <alignment horizontal="left" vertical="center"/>
      <protection/>
    </xf>
    <xf numFmtId="40" fontId="22" fillId="0" borderId="16" xfId="32" applyFont="1" applyBorder="1" applyAlignment="1" applyProtection="1">
      <alignment horizontal="left" vertical="center"/>
      <protection/>
    </xf>
    <xf numFmtId="20" fontId="15" fillId="0" borderId="15" xfId="18" applyNumberFormat="1" applyFont="1" applyBorder="1" applyProtection="1" quotePrefix="1">
      <alignment horizontal="left" vertical="center"/>
      <protection/>
    </xf>
    <xf numFmtId="183" fontId="15" fillId="0" borderId="15" xfId="32" applyNumberFormat="1" applyFont="1" applyBorder="1" applyProtection="1" quotePrefix="1">
      <alignment horizontal="right" vertical="center"/>
      <protection/>
    </xf>
    <xf numFmtId="0" fontId="15" fillId="0" borderId="54" xfId="22" applyFont="1" applyBorder="1" applyAlignment="1">
      <alignment vertical="center"/>
    </xf>
    <xf numFmtId="0" fontId="22" fillId="0" borderId="16" xfId="18" applyFont="1" applyBorder="1" applyProtection="1">
      <alignment horizontal="left" vertical="center"/>
      <protection/>
    </xf>
    <xf numFmtId="0" fontId="15" fillId="0" borderId="22" xfId="15" applyFont="1" applyBorder="1" applyAlignment="1" quotePrefix="1">
      <alignment horizontal="left" vertical="center"/>
      <protection/>
    </xf>
    <xf numFmtId="0" fontId="15" fillId="0" borderId="53" xfId="22" applyFont="1" applyBorder="1" applyAlignment="1">
      <alignment vertical="center"/>
    </xf>
    <xf numFmtId="0" fontId="26" fillId="0" borderId="23" xfId="22" applyFont="1" applyBorder="1" applyAlignment="1">
      <alignment vertical="center"/>
    </xf>
    <xf numFmtId="40" fontId="26" fillId="0" borderId="23" xfId="32" applyFont="1" applyBorder="1" applyAlignment="1" quotePrefix="1">
      <alignment horizontal="center" vertical="center"/>
    </xf>
    <xf numFmtId="40" fontId="26" fillId="0" borderId="23" xfId="32" applyFont="1" applyBorder="1" applyAlignment="1">
      <alignment horizontal="right" vertical="center"/>
    </xf>
    <xf numFmtId="40" fontId="5" fillId="0" borderId="16" xfId="32" applyFont="1" applyBorder="1" applyAlignment="1" applyProtection="1">
      <alignment horizontal="center" vertical="center"/>
      <protection/>
    </xf>
    <xf numFmtId="40" fontId="16" fillId="0" borderId="16" xfId="32" applyFont="1" applyBorder="1" applyAlignment="1" applyProtection="1" quotePrefix="1">
      <alignment horizontal="center" vertical="center"/>
      <protection/>
    </xf>
    <xf numFmtId="20" fontId="16" fillId="0" borderId="15" xfId="18" applyNumberFormat="1" applyFont="1" applyBorder="1" applyAlignment="1" applyProtection="1" quotePrefix="1">
      <alignment horizontal="center" vertical="center"/>
      <protection/>
    </xf>
    <xf numFmtId="0" fontId="16" fillId="0" borderId="15" xfId="18" applyFont="1" applyBorder="1" applyAlignment="1" quotePrefix="1">
      <alignment horizontal="center" vertical="center" wrapText="1"/>
    </xf>
    <xf numFmtId="0" fontId="16" fillId="0" borderId="16" xfId="18" applyFont="1" applyBorder="1" applyAlignment="1" applyProtection="1" quotePrefix="1">
      <alignment horizontal="center" vertical="center"/>
      <protection/>
    </xf>
    <xf numFmtId="0" fontId="26" fillId="0" borderId="23" xfId="22" applyFont="1" applyBorder="1" applyAlignment="1">
      <alignment horizontal="left" vertical="center"/>
    </xf>
    <xf numFmtId="40" fontId="3" fillId="0" borderId="23" xfId="32" applyFont="1" applyBorder="1" applyAlignment="1">
      <alignment horizontal="center" vertical="center"/>
    </xf>
    <xf numFmtId="40" fontId="26" fillId="0" borderId="64" xfId="32" applyFont="1" applyBorder="1" applyAlignment="1">
      <alignment horizontal="right" vertical="center"/>
    </xf>
    <xf numFmtId="40" fontId="15" fillId="0" borderId="44" xfId="32" applyFont="1" applyBorder="1" applyAlignment="1" applyProtection="1">
      <alignment horizontal="right" vertical="center"/>
      <protection/>
    </xf>
    <xf numFmtId="0" fontId="15" fillId="0" borderId="25" xfId="18" applyFont="1" applyBorder="1" applyProtection="1">
      <alignment horizontal="left" vertical="center"/>
      <protection/>
    </xf>
    <xf numFmtId="40" fontId="5" fillId="0" borderId="24" xfId="32" applyFont="1" applyBorder="1" applyAlignment="1">
      <alignment horizontal="center" vertical="center"/>
    </xf>
    <xf numFmtId="0" fontId="13" fillId="0" borderId="15" xfId="18" applyFont="1" applyBorder="1" applyAlignment="1" applyProtection="1" quotePrefix="1">
      <alignment horizontal="center" vertical="center" wrapText="1"/>
      <protection/>
    </xf>
    <xf numFmtId="40" fontId="13" fillId="0" borderId="15" xfId="32" applyNumberFormat="1" applyFont="1" applyBorder="1" applyAlignment="1" applyProtection="1" quotePrefix="1">
      <alignment horizontal="right" vertical="center"/>
      <protection/>
    </xf>
    <xf numFmtId="0" fontId="39" fillId="4" borderId="42" xfId="22" applyFont="1" applyFill="1" applyBorder="1" applyAlignment="1">
      <alignment horizontal="center" vertical="center"/>
    </xf>
    <xf numFmtId="38" fontId="39" fillId="4" borderId="18" xfId="32" applyNumberFormat="1" applyFont="1" applyFill="1" applyBorder="1" applyAlignment="1">
      <alignment horizontal="center" vertical="center"/>
    </xf>
    <xf numFmtId="0" fontId="39" fillId="4" borderId="18" xfId="17" applyFont="1" applyFill="1" applyBorder="1" applyAlignment="1">
      <alignment horizontal="distributed" vertical="center"/>
      <protection/>
    </xf>
    <xf numFmtId="40" fontId="39" fillId="4" borderId="18" xfId="32" applyFont="1" applyFill="1" applyBorder="1" applyAlignment="1">
      <alignment horizontal="center" vertical="center"/>
    </xf>
    <xf numFmtId="0" fontId="39" fillId="4" borderId="24" xfId="18" applyFont="1" applyFill="1" applyBorder="1" applyAlignment="1" applyProtection="1">
      <alignment horizontal="center" vertical="center"/>
      <protection/>
    </xf>
    <xf numFmtId="4" fontId="44" fillId="4" borderId="0" xfId="20" applyNumberFormat="1" applyFont="1" applyFill="1" applyAlignment="1">
      <alignment vertical="center"/>
      <protection/>
    </xf>
    <xf numFmtId="0" fontId="39" fillId="4" borderId="15" xfId="22" applyFont="1" applyFill="1" applyBorder="1" applyAlignment="1">
      <alignment horizontal="center" vertical="center"/>
    </xf>
    <xf numFmtId="40" fontId="39" fillId="4" borderId="15" xfId="32" applyFont="1" applyFill="1" applyBorder="1" applyAlignment="1" applyProtection="1">
      <alignment horizontal="center" vertical="center"/>
      <protection/>
    </xf>
    <xf numFmtId="40" fontId="39" fillId="4" borderId="15" xfId="32" applyNumberFormat="1" applyFont="1" applyFill="1" applyBorder="1" applyAlignment="1">
      <alignment horizontal="right" vertical="center"/>
    </xf>
    <xf numFmtId="40" fontId="39" fillId="4" borderId="15" xfId="32" applyFont="1" applyFill="1" applyBorder="1" applyAlignment="1" applyProtection="1">
      <alignment vertical="center"/>
      <protection/>
    </xf>
    <xf numFmtId="40" fontId="39" fillId="4" borderId="15" xfId="32" applyFont="1" applyFill="1" applyBorder="1" applyAlignment="1">
      <alignment horizontal="center" vertical="center"/>
    </xf>
    <xf numFmtId="40" fontId="39" fillId="4" borderId="16" xfId="32" applyFont="1" applyFill="1" applyBorder="1" applyAlignment="1">
      <alignment horizontal="center" vertical="center" wrapText="1"/>
    </xf>
    <xf numFmtId="0" fontId="40" fillId="4" borderId="15" xfId="22" applyFont="1" applyFill="1" applyBorder="1" applyAlignment="1">
      <alignment horizontal="center" vertical="center"/>
    </xf>
    <xf numFmtId="40" fontId="45" fillId="4" borderId="15" xfId="32" applyFont="1" applyFill="1" applyBorder="1" applyProtection="1">
      <alignment horizontal="right" vertical="center"/>
      <protection/>
    </xf>
    <xf numFmtId="40" fontId="39" fillId="4" borderId="15" xfId="32" applyFont="1" applyFill="1" applyBorder="1" applyAlignment="1" applyProtection="1">
      <alignment horizontal="right" vertical="center"/>
      <protection/>
    </xf>
    <xf numFmtId="0" fontId="40" fillId="4" borderId="16" xfId="18" applyFont="1" applyFill="1" applyBorder="1" applyAlignment="1" applyProtection="1" quotePrefix="1">
      <alignment horizontal="center" vertical="center" wrapText="1"/>
      <protection/>
    </xf>
    <xf numFmtId="40" fontId="39" fillId="4" borderId="16" xfId="32" applyFont="1" applyFill="1" applyBorder="1" applyAlignment="1" applyProtection="1">
      <alignment horizontal="left" vertical="center" wrapText="1"/>
      <protection/>
    </xf>
    <xf numFmtId="40" fontId="40" fillId="4" borderId="16" xfId="32" applyFont="1" applyFill="1" applyBorder="1" applyAlignment="1" applyProtection="1">
      <alignment horizontal="center" vertical="center"/>
      <protection/>
    </xf>
    <xf numFmtId="0" fontId="39" fillId="4" borderId="15" xfId="18" applyFont="1" applyFill="1" applyBorder="1" applyAlignment="1" applyProtection="1">
      <alignment horizontal="left" vertical="center"/>
      <protection/>
    </xf>
    <xf numFmtId="0" fontId="45" fillId="4" borderId="15" xfId="18" applyFont="1" applyFill="1" applyBorder="1">
      <alignment horizontal="left" vertical="center"/>
    </xf>
    <xf numFmtId="40" fontId="45" fillId="4" borderId="55" xfId="32" applyFont="1" applyFill="1" applyBorder="1" applyAlignment="1" applyProtection="1">
      <alignment horizontal="center" vertical="center"/>
      <protection/>
    </xf>
    <xf numFmtId="40" fontId="45" fillId="4" borderId="145" xfId="32" applyFont="1" applyFill="1" applyBorder="1" applyAlignment="1" applyProtection="1">
      <alignment horizontal="center" vertical="center"/>
      <protection/>
    </xf>
    <xf numFmtId="40" fontId="39" fillId="4" borderId="57" xfId="32" applyFont="1" applyFill="1" applyBorder="1" applyAlignment="1" applyProtection="1">
      <alignment horizontal="right" vertical="center"/>
      <protection/>
    </xf>
    <xf numFmtId="0" fontId="39" fillId="4" borderId="58" xfId="18" applyFont="1" applyFill="1" applyBorder="1" applyAlignment="1" applyProtection="1">
      <alignment horizontal="left" vertical="center"/>
      <protection/>
    </xf>
    <xf numFmtId="0" fontId="39" fillId="4" borderId="53" xfId="22" applyFont="1" applyFill="1" applyBorder="1" applyAlignment="1">
      <alignment vertical="center"/>
    </xf>
    <xf numFmtId="0" fontId="39" fillId="4" borderId="23" xfId="22" applyFont="1" applyFill="1" applyBorder="1" applyAlignment="1">
      <alignment vertical="center"/>
    </xf>
    <xf numFmtId="40" fontId="39" fillId="4" borderId="23" xfId="32" applyFont="1" applyFill="1" applyBorder="1" applyAlignment="1" quotePrefix="1">
      <alignment horizontal="left" vertical="center"/>
    </xf>
    <xf numFmtId="40" fontId="39" fillId="4" borderId="23" xfId="32" applyFont="1" applyFill="1" applyBorder="1" applyAlignment="1" quotePrefix="1">
      <alignment horizontal="center" vertical="center"/>
    </xf>
    <xf numFmtId="40" fontId="39" fillId="4" borderId="23" xfId="32" applyFont="1" applyFill="1" applyBorder="1" applyAlignment="1">
      <alignment horizontal="right" vertical="center"/>
    </xf>
    <xf numFmtId="40" fontId="45" fillId="4" borderId="44" xfId="32" applyFont="1" applyFill="1" applyBorder="1" applyAlignment="1" applyProtection="1">
      <alignment horizontal="right" vertical="center"/>
      <protection/>
    </xf>
    <xf numFmtId="40" fontId="45" fillId="4" borderId="25" xfId="32" applyFont="1" applyFill="1" applyBorder="1" applyAlignment="1">
      <alignment vertical="center"/>
    </xf>
    <xf numFmtId="0" fontId="39" fillId="4" borderId="0" xfId="22" applyFont="1" applyFill="1" applyBorder="1" applyAlignment="1">
      <alignment vertical="center"/>
    </xf>
    <xf numFmtId="40" fontId="39" fillId="4" borderId="0" xfId="32" applyFont="1" applyFill="1" applyBorder="1" applyAlignment="1" quotePrefix="1">
      <alignment horizontal="left" vertical="center"/>
    </xf>
    <xf numFmtId="40" fontId="39" fillId="4" borderId="0" xfId="32" applyFont="1" applyFill="1" applyBorder="1" applyAlignment="1" quotePrefix="1">
      <alignment horizontal="center" vertical="center"/>
    </xf>
    <xf numFmtId="40" fontId="39" fillId="4" borderId="0" xfId="32" applyFont="1" applyFill="1" applyBorder="1" applyAlignment="1">
      <alignment horizontal="right" vertical="center"/>
    </xf>
    <xf numFmtId="40" fontId="45" fillId="4" borderId="0" xfId="32" applyFont="1" applyFill="1" applyBorder="1" applyAlignment="1" applyProtection="1">
      <alignment horizontal="right" vertical="center"/>
      <protection/>
    </xf>
    <xf numFmtId="40" fontId="45" fillId="4" borderId="0" xfId="32" applyFont="1" applyFill="1" applyBorder="1" applyAlignment="1">
      <alignment vertical="center"/>
    </xf>
    <xf numFmtId="0" fontId="13" fillId="0" borderId="18" xfId="17" applyFont="1" applyBorder="1" applyAlignment="1">
      <alignment horizontal="distributed" vertical="center"/>
      <protection/>
    </xf>
    <xf numFmtId="0" fontId="13" fillId="0" borderId="23" xfId="22" applyFont="1" applyBorder="1" applyAlignment="1">
      <alignment horizontal="left" vertical="center"/>
    </xf>
    <xf numFmtId="0" fontId="13" fillId="4" borderId="16" xfId="0" applyFont="1" applyFill="1" applyBorder="1" applyAlignment="1">
      <alignment horizontal="center"/>
    </xf>
    <xf numFmtId="4" fontId="40" fillId="4" borderId="52" xfId="0" applyNumberFormat="1" applyFont="1" applyFill="1" applyBorder="1" applyAlignment="1" quotePrefix="1">
      <alignment horizontal="distributed" vertical="center"/>
    </xf>
    <xf numFmtId="190" fontId="16" fillId="4" borderId="44" xfId="30" applyNumberFormat="1" applyFont="1" applyFill="1" applyBorder="1" applyAlignment="1" applyProtection="1">
      <alignment horizontal="right" vertical="center"/>
      <protection/>
    </xf>
    <xf numFmtId="185" fontId="40" fillId="4" borderId="44" xfId="0" applyNumberFormat="1" applyFont="1" applyFill="1" applyBorder="1" applyAlignment="1" quotePrefix="1">
      <alignment horizontal="right" vertical="center"/>
    </xf>
    <xf numFmtId="0" fontId="15" fillId="4" borderId="44" xfId="0" applyNumberFormat="1" applyFont="1" applyFill="1" applyBorder="1" applyAlignment="1" applyProtection="1" quotePrefix="1">
      <alignment horizontal="center" vertical="center"/>
      <protection/>
    </xf>
    <xf numFmtId="201" fontId="16" fillId="4" borderId="44" xfId="0" applyNumberFormat="1" applyFont="1" applyFill="1" applyBorder="1" applyAlignment="1" applyProtection="1" quotePrefix="1">
      <alignment horizontal="center" vertical="top"/>
      <protection/>
    </xf>
    <xf numFmtId="201" fontId="16" fillId="4" borderId="44" xfId="0" applyNumberFormat="1" applyFont="1" applyFill="1" applyBorder="1" applyAlignment="1" applyProtection="1">
      <alignment horizontal="center" vertical="top"/>
      <protection/>
    </xf>
    <xf numFmtId="201" fontId="16" fillId="4" borderId="146" xfId="0" applyNumberFormat="1" applyFont="1" applyFill="1" applyBorder="1" applyAlignment="1" applyProtection="1" quotePrefix="1">
      <alignment horizontal="center" vertical="top"/>
      <protection/>
    </xf>
    <xf numFmtId="0" fontId="13" fillId="4" borderId="2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2" fillId="4" borderId="0" xfId="0" applyFont="1" applyFill="1" applyAlignment="1" quotePrefix="1">
      <alignment vertical="center"/>
    </xf>
    <xf numFmtId="4" fontId="73" fillId="0" borderId="16" xfId="19" applyNumberFormat="1" applyFont="1" applyBorder="1" applyAlignment="1">
      <alignment horizontal="distributed" vertical="center"/>
      <protection/>
    </xf>
    <xf numFmtId="4" fontId="73" fillId="0" borderId="15" xfId="19" applyNumberFormat="1" applyFont="1" applyBorder="1" applyAlignment="1">
      <alignment horizontal="center" vertical="center" wrapText="1"/>
      <protection/>
    </xf>
    <xf numFmtId="4" fontId="73" fillId="0" borderId="16" xfId="19" applyNumberFormat="1" applyFont="1" applyBorder="1" applyAlignment="1">
      <alignment vertical="center"/>
      <protection/>
    </xf>
    <xf numFmtId="3" fontId="39" fillId="0" borderId="15" xfId="19" applyNumberFormat="1" applyFont="1" applyBorder="1" applyAlignment="1">
      <alignment vertical="center"/>
      <protection/>
    </xf>
    <xf numFmtId="3" fontId="39" fillId="0" borderId="15" xfId="19" applyNumberFormat="1" applyFont="1" applyBorder="1" applyAlignment="1" quotePrefix="1">
      <alignment horizontal="right" vertical="center"/>
      <protection/>
    </xf>
    <xf numFmtId="3" fontId="46" fillId="0" borderId="15" xfId="19" applyNumberFormat="1" applyFont="1" applyBorder="1" applyAlignment="1">
      <alignment vertical="center"/>
      <protection/>
    </xf>
    <xf numFmtId="0" fontId="61" fillId="0" borderId="0" xfId="0" applyFont="1" applyAlignment="1">
      <alignment/>
    </xf>
    <xf numFmtId="3" fontId="39" fillId="0" borderId="15" xfId="19" applyNumberFormat="1" applyFont="1" applyBorder="1" applyAlignment="1">
      <alignment horizontal="right" vertical="center"/>
      <protection/>
    </xf>
    <xf numFmtId="4" fontId="62" fillId="0" borderId="16" xfId="19" applyNumberFormat="1" applyFont="1" applyBorder="1" applyAlignment="1">
      <alignment horizontal="distributed" vertical="center"/>
      <protection/>
    </xf>
    <xf numFmtId="4" fontId="40" fillId="0" borderId="15" xfId="19" applyNumberFormat="1" applyFont="1" applyBorder="1" applyAlignment="1" quotePrefix="1">
      <alignment horizontal="center" vertical="center"/>
      <protection/>
    </xf>
    <xf numFmtId="4" fontId="39" fillId="0" borderId="52" xfId="19" applyNumberFormat="1" applyFont="1" applyBorder="1" applyAlignment="1">
      <alignment horizontal="distributed" vertical="center"/>
      <protection/>
    </xf>
    <xf numFmtId="4" fontId="73" fillId="0" borderId="44" xfId="19" applyNumberFormat="1" applyFont="1" applyBorder="1" applyAlignment="1">
      <alignment horizontal="center" vertical="center" wrapText="1"/>
      <protection/>
    </xf>
    <xf numFmtId="4" fontId="39" fillId="0" borderId="44" xfId="19" applyNumberFormat="1" applyFont="1" applyBorder="1" applyAlignment="1">
      <alignment horizontal="center" vertical="center"/>
      <protection/>
    </xf>
    <xf numFmtId="4" fontId="39" fillId="0" borderId="44" xfId="19" applyNumberFormat="1" applyFont="1" applyBorder="1" applyAlignment="1">
      <alignment vertical="center"/>
      <protection/>
    </xf>
    <xf numFmtId="4" fontId="46" fillId="0" borderId="44" xfId="19" applyNumberFormat="1" applyFont="1" applyBorder="1" applyAlignment="1">
      <alignment vertical="center"/>
      <protection/>
    </xf>
    <xf numFmtId="4" fontId="40" fillId="0" borderId="25" xfId="19" applyNumberFormat="1" applyFont="1" applyBorder="1" applyAlignment="1">
      <alignment vertical="center"/>
      <protection/>
    </xf>
    <xf numFmtId="4" fontId="12" fillId="0" borderId="15" xfId="19" applyNumberFormat="1" applyFont="1" applyBorder="1" applyAlignment="1">
      <alignment vertical="center"/>
      <protection/>
    </xf>
    <xf numFmtId="4" fontId="12" fillId="0" borderId="15" xfId="20" applyNumberFormat="1" applyFont="1" applyBorder="1" applyAlignment="1">
      <alignment vertical="center"/>
      <protection/>
    </xf>
    <xf numFmtId="4" fontId="12" fillId="0" borderId="44" xfId="19" applyNumberFormat="1" applyFont="1" applyBorder="1" applyAlignment="1">
      <alignment vertical="center"/>
      <protection/>
    </xf>
    <xf numFmtId="4" fontId="39" fillId="0" borderId="16" xfId="19" applyNumberFormat="1" applyFont="1" applyBorder="1" applyAlignment="1">
      <alignment vertical="center"/>
      <protection/>
    </xf>
    <xf numFmtId="4" fontId="28" fillId="0" borderId="16" xfId="19" applyNumberFormat="1" applyFont="1" applyBorder="1" applyAlignment="1">
      <alignment vertical="center" wrapText="1"/>
      <protection/>
    </xf>
    <xf numFmtId="4" fontId="12" fillId="0" borderId="46" xfId="19" applyNumberFormat="1" applyFont="1" applyBorder="1" applyAlignment="1">
      <alignment vertical="center"/>
      <protection/>
    </xf>
    <xf numFmtId="4" fontId="13" fillId="0" borderId="16" xfId="19" applyNumberFormat="1" applyFont="1" applyBorder="1" applyAlignment="1">
      <alignment vertical="center"/>
      <protection/>
    </xf>
    <xf numFmtId="4" fontId="12" fillId="0" borderId="16" xfId="20" applyNumberFormat="1" applyFont="1" applyBorder="1" applyAlignment="1">
      <alignment vertical="center"/>
      <protection/>
    </xf>
    <xf numFmtId="4" fontId="12" fillId="0" borderId="16" xfId="19" applyNumberFormat="1" applyFont="1" applyBorder="1" applyAlignment="1">
      <alignment vertical="center"/>
      <protection/>
    </xf>
    <xf numFmtId="4" fontId="12" fillId="0" borderId="52" xfId="19" applyNumberFormat="1" applyFont="1" applyBorder="1" applyAlignment="1">
      <alignment vertical="center"/>
      <protection/>
    </xf>
    <xf numFmtId="4" fontId="12" fillId="0" borderId="25" xfId="19" applyNumberFormat="1" applyFont="1" applyBorder="1" applyAlignment="1">
      <alignment vertical="center"/>
      <protection/>
    </xf>
    <xf numFmtId="0" fontId="0" fillId="0" borderId="44" xfId="0" applyFont="1" applyBorder="1" applyAlignment="1">
      <alignment horizontal="center" wrapText="1"/>
    </xf>
    <xf numFmtId="4" fontId="74" fillId="0" borderId="15" xfId="0" applyNumberFormat="1" applyFont="1" applyBorder="1" applyAlignment="1">
      <alignment horizontal="distributed" vertical="center"/>
    </xf>
    <xf numFmtId="228" fontId="39" fillId="0" borderId="15" xfId="0" applyNumberFormat="1" applyFont="1" applyBorder="1" applyAlignment="1">
      <alignment horizontal="right" vertical="center"/>
    </xf>
    <xf numFmtId="184" fontId="39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center" wrapText="1"/>
    </xf>
    <xf numFmtId="40" fontId="13" fillId="0" borderId="54" xfId="32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184" fontId="28" fillId="0" borderId="15" xfId="0" applyNumberFormat="1" applyFont="1" applyFill="1" applyBorder="1" applyAlignment="1">
      <alignment horizontal="right" vertical="center"/>
    </xf>
    <xf numFmtId="184" fontId="28" fillId="0" borderId="15" xfId="0" applyNumberFormat="1" applyFont="1" applyFill="1" applyBorder="1" applyAlignment="1" quotePrefix="1">
      <alignment horizontal="right" vertical="center"/>
    </xf>
    <xf numFmtId="184" fontId="28" fillId="0" borderId="16" xfId="0" applyNumberFormat="1" applyFont="1" applyFill="1" applyBorder="1" applyAlignment="1">
      <alignment horizontal="right" vertical="center"/>
    </xf>
    <xf numFmtId="184" fontId="28" fillId="0" borderId="16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right" vertical="center"/>
    </xf>
    <xf numFmtId="184" fontId="13" fillId="0" borderId="15" xfId="0" applyNumberFormat="1" applyFont="1" applyFill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22" applyFont="1" applyBorder="1" applyAlignment="1">
      <alignment horizontal="right" vertical="center"/>
    </xf>
    <xf numFmtId="40" fontId="13" fillId="0" borderId="0" xfId="32" applyFont="1" applyBorder="1" applyAlignment="1">
      <alignment horizontal="right" vertical="center"/>
    </xf>
    <xf numFmtId="40" fontId="13" fillId="0" borderId="0" xfId="32" applyFont="1" applyBorder="1" applyAlignment="1">
      <alignment horizontal="left" vertical="center"/>
    </xf>
    <xf numFmtId="214" fontId="13" fillId="0" borderId="15" xfId="20" applyNumberFormat="1" applyFont="1" applyBorder="1" applyAlignment="1">
      <alignment horizontal="right" vertical="center"/>
      <protection/>
    </xf>
    <xf numFmtId="0" fontId="13" fillId="4" borderId="52" xfId="23" applyFont="1" applyFill="1" applyBorder="1" applyAlignment="1">
      <alignment horizontal="distributed" vertical="center"/>
    </xf>
    <xf numFmtId="4" fontId="13" fillId="4" borderId="52" xfId="23" applyNumberFormat="1" applyFont="1" applyFill="1" applyBorder="1" applyAlignment="1">
      <alignment horizontal="distributed" vertical="center"/>
    </xf>
    <xf numFmtId="233" fontId="4" fillId="0" borderId="70" xfId="25" applyNumberFormat="1" applyFont="1" applyBorder="1" applyAlignment="1" applyProtection="1">
      <alignment horizontal="left" vertical="center"/>
      <protection/>
    </xf>
    <xf numFmtId="0" fontId="13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28" xfId="0" applyFont="1" applyFill="1" applyBorder="1" applyAlignment="1">
      <alignment horizontal="center" vertical="center"/>
    </xf>
    <xf numFmtId="4" fontId="39" fillId="0" borderId="57" xfId="0" applyNumberFormat="1" applyFont="1" applyBorder="1" applyAlignment="1">
      <alignment horizontal="distributed" vertical="center"/>
    </xf>
    <xf numFmtId="4" fontId="46" fillId="0" borderId="57" xfId="0" applyNumberFormat="1" applyFont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191" fontId="39" fillId="0" borderId="57" xfId="0" applyNumberFormat="1" applyFont="1" applyBorder="1" applyAlignment="1">
      <alignment horizontal="right" vertical="center"/>
    </xf>
    <xf numFmtId="0" fontId="13" fillId="4" borderId="58" xfId="0" applyFont="1" applyFill="1" applyBorder="1" applyAlignment="1">
      <alignment horizontal="center" vertical="center" wrapText="1"/>
    </xf>
    <xf numFmtId="0" fontId="12" fillId="0" borderId="52" xfId="15" applyFont="1" applyBorder="1" applyAlignment="1">
      <alignment horizontal="left" vertical="center"/>
      <protection/>
    </xf>
    <xf numFmtId="0" fontId="12" fillId="0" borderId="44" xfId="23" applyFont="1" applyBorder="1" applyAlignment="1" quotePrefix="1">
      <alignment horizontal="left" vertical="center"/>
    </xf>
    <xf numFmtId="0" fontId="15" fillId="0" borderId="44" xfId="23" applyFont="1" applyBorder="1" applyAlignment="1">
      <alignment vertical="center"/>
    </xf>
    <xf numFmtId="0" fontId="26" fillId="0" borderId="44" xfId="23" applyFont="1" applyBorder="1" applyAlignment="1">
      <alignment horizontal="center" vertical="center"/>
    </xf>
    <xf numFmtId="40" fontId="26" fillId="0" borderId="44" xfId="32" applyFont="1" applyBorder="1" applyAlignment="1">
      <alignment horizontal="left" vertical="center"/>
    </xf>
    <xf numFmtId="40" fontId="26" fillId="0" borderId="25" xfId="32" applyFont="1" applyBorder="1" applyAlignment="1">
      <alignment horizontal="right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6" fontId="13" fillId="0" borderId="15" xfId="20" applyNumberFormat="1" applyFont="1" applyBorder="1" applyAlignment="1">
      <alignment horizontal="right" vertical="center"/>
      <protection/>
    </xf>
    <xf numFmtId="20" fontId="13" fillId="0" borderId="15" xfId="18" applyNumberFormat="1" applyFont="1" applyFill="1" applyBorder="1" applyProtection="1">
      <alignment horizontal="left" vertical="center"/>
      <protection/>
    </xf>
    <xf numFmtId="0" fontId="0" fillId="0" borderId="46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4" fontId="18" fillId="0" borderId="15" xfId="19" applyNumberFormat="1" applyFont="1" applyBorder="1" applyAlignment="1">
      <alignment horizontal="center" vertical="center" wrapText="1"/>
      <protection/>
    </xf>
    <xf numFmtId="40" fontId="1" fillId="4" borderId="16" xfId="32" applyFont="1" applyFill="1" applyBorder="1" applyAlignment="1" applyProtection="1">
      <alignment horizontal="left" vertical="center"/>
      <protection/>
    </xf>
    <xf numFmtId="0" fontId="0" fillId="0" borderId="147" xfId="19" applyFont="1" applyBorder="1" applyAlignment="1">
      <alignment horizontal="right"/>
      <protection/>
    </xf>
    <xf numFmtId="4" fontId="39" fillId="0" borderId="52" xfId="0" applyNumberFormat="1" applyFont="1" applyBorder="1" applyAlignment="1">
      <alignment horizontal="distributed" vertical="center"/>
    </xf>
    <xf numFmtId="176" fontId="13" fillId="0" borderId="44" xfId="20" applyNumberFormat="1" applyFont="1" applyBorder="1" applyAlignment="1">
      <alignment horizontal="right" vertical="center"/>
      <protection/>
    </xf>
    <xf numFmtId="3" fontId="16" fillId="0" borderId="16" xfId="20" applyNumberFormat="1" applyFont="1" applyBorder="1" applyAlignment="1">
      <alignment horizontal="center" vertical="center"/>
      <protection/>
    </xf>
    <xf numFmtId="38" fontId="16" fillId="0" borderId="16" xfId="20" applyNumberFormat="1" applyFont="1" applyBorder="1" applyAlignment="1">
      <alignment horizontal="center" vertical="center"/>
      <protection/>
    </xf>
    <xf numFmtId="0" fontId="13" fillId="0" borderId="130" xfId="18" applyFont="1" applyBorder="1" applyAlignment="1" applyProtection="1" quotePrefix="1">
      <alignment horizontal="left" vertical="center" wrapText="1"/>
      <protection/>
    </xf>
    <xf numFmtId="4" fontId="13" fillId="4" borderId="0" xfId="0" applyNumberFormat="1" applyFont="1" applyFill="1" applyBorder="1" applyAlignment="1" quotePrefix="1">
      <alignment/>
    </xf>
    <xf numFmtId="0" fontId="13" fillId="0" borderId="15" xfId="20" applyFont="1" applyBorder="1" applyAlignment="1">
      <alignment horizontal="center" vertical="center" wrapText="1"/>
      <protection/>
    </xf>
    <xf numFmtId="4" fontId="13" fillId="0" borderId="15" xfId="20" applyNumberFormat="1" applyFont="1" applyBorder="1" applyAlignment="1">
      <alignment horizontal="center" vertical="center" wrapText="1"/>
      <protection/>
    </xf>
    <xf numFmtId="4" fontId="40" fillId="0" borderId="84" xfId="0" applyNumberFormat="1" applyFont="1" applyBorder="1" applyAlignment="1" quotePrefix="1">
      <alignment horizontal="center" vertical="center" wrapText="1"/>
    </xf>
    <xf numFmtId="190" fontId="5" fillId="0" borderId="112" xfId="0" applyNumberFormat="1" applyFont="1" applyBorder="1" applyAlignment="1">
      <alignment horizontal="right" vertical="center"/>
    </xf>
    <xf numFmtId="184" fontId="0" fillId="0" borderId="15" xfId="0" applyNumberFormat="1" applyFill="1" applyBorder="1" applyAlignment="1">
      <alignment horizontal="right" vertical="center"/>
    </xf>
    <xf numFmtId="184" fontId="32" fillId="0" borderId="15" xfId="0" applyNumberFormat="1" applyFont="1" applyFill="1" applyBorder="1" applyAlignment="1">
      <alignment horizontal="right" vertical="center"/>
    </xf>
    <xf numFmtId="4" fontId="75" fillId="0" borderId="15" xfId="0" applyNumberFormat="1" applyFont="1" applyBorder="1" applyAlignment="1">
      <alignment horizontal="center" vertical="center"/>
    </xf>
    <xf numFmtId="4" fontId="40" fillId="4" borderId="46" xfId="0" applyNumberFormat="1" applyFont="1" applyFill="1" applyBorder="1" applyAlignment="1">
      <alignment horizontal="distributed" vertical="center"/>
    </xf>
    <xf numFmtId="4" fontId="39" fillId="4" borderId="15" xfId="0" applyNumberFormat="1" applyFont="1" applyFill="1" applyBorder="1" applyAlignment="1">
      <alignment horizontal="center" vertical="center"/>
    </xf>
    <xf numFmtId="3" fontId="13" fillId="0" borderId="44" xfId="19" applyNumberFormat="1" applyFont="1" applyBorder="1" applyAlignment="1">
      <alignment horizontal="right" vertical="center"/>
      <protection/>
    </xf>
    <xf numFmtId="4" fontId="40" fillId="0" borderId="15" xfId="19" applyNumberFormat="1" applyFont="1" applyBorder="1" applyAlignment="1" quotePrefix="1">
      <alignment horizontal="center" vertical="center" wrapText="1"/>
      <protection/>
    </xf>
    <xf numFmtId="4" fontId="16" fillId="0" borderId="16" xfId="19" applyNumberFormat="1" applyFont="1" applyBorder="1" applyAlignment="1">
      <alignment vertical="center" wrapText="1"/>
      <protection/>
    </xf>
    <xf numFmtId="0" fontId="16" fillId="4" borderId="85" xfId="0" applyFont="1" applyFill="1" applyBorder="1" applyAlignment="1" applyProtection="1">
      <alignment horizontal="right" vertical="center"/>
      <protection/>
    </xf>
    <xf numFmtId="0" fontId="13" fillId="0" borderId="54" xfId="0" applyFont="1" applyBorder="1" applyAlignment="1">
      <alignment horizontal="distributed" vertical="center"/>
    </xf>
    <xf numFmtId="40" fontId="28" fillId="0" borderId="15" xfId="32" applyFont="1" applyBorder="1" applyAlignment="1" applyProtection="1">
      <alignment horizontal="center" vertical="center"/>
      <protection/>
    </xf>
    <xf numFmtId="0" fontId="13" fillId="0" borderId="24" xfId="0" applyFont="1" applyBorder="1" applyAlignment="1" quotePrefix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43" fontId="13" fillId="0" borderId="15" xfId="30" applyFont="1" applyBorder="1" applyAlignment="1">
      <alignment vertical="center"/>
    </xf>
    <xf numFmtId="4" fontId="13" fillId="0" borderId="148" xfId="19" applyNumberFormat="1" applyFont="1" applyBorder="1" applyAlignment="1" quotePrefix="1">
      <alignment horizontal="center" vertical="center"/>
      <protection/>
    </xf>
    <xf numFmtId="43" fontId="13" fillId="0" borderId="15" xfId="30" applyNumberFormat="1" applyFont="1" applyBorder="1" applyAlignment="1">
      <alignment vertical="center"/>
    </xf>
    <xf numFmtId="40" fontId="47" fillId="0" borderId="23" xfId="32" applyFont="1" applyBorder="1" applyAlignment="1" quotePrefix="1">
      <alignment horizontal="right" vertical="center"/>
    </xf>
    <xf numFmtId="40" fontId="47" fillId="0" borderId="0" xfId="32" applyFont="1" applyBorder="1" applyAlignment="1" quotePrefix="1">
      <alignment horizontal="right" vertical="center"/>
    </xf>
    <xf numFmtId="0" fontId="16" fillId="0" borderId="0" xfId="0" applyFont="1" applyAlignment="1">
      <alignment horizontal="center" vertical="center" wrapText="1"/>
    </xf>
    <xf numFmtId="40" fontId="13" fillId="0" borderId="15" xfId="32" applyFont="1" applyFill="1" applyBorder="1" applyAlignment="1" applyProtection="1">
      <alignment vertical="center"/>
      <protection/>
    </xf>
    <xf numFmtId="0" fontId="13" fillId="0" borderId="15" xfId="18" applyFont="1" applyFill="1" applyBorder="1" applyAlignment="1" applyProtection="1">
      <alignment horizontal="left" vertical="center"/>
      <protection/>
    </xf>
    <xf numFmtId="0" fontId="13" fillId="0" borderId="22" xfId="15" applyFont="1" applyBorder="1" applyAlignment="1">
      <alignment horizontal="distributed" vertical="center"/>
      <protection/>
    </xf>
    <xf numFmtId="0" fontId="13" fillId="0" borderId="54" xfId="15" applyFont="1" applyBorder="1" applyAlignment="1">
      <alignment horizontal="distributed" vertical="center"/>
      <protection/>
    </xf>
    <xf numFmtId="0" fontId="13" fillId="0" borderId="15" xfId="18" applyFont="1" applyBorder="1" applyAlignment="1" applyProtection="1" quotePrefix="1">
      <alignment horizontal="center" vertical="center"/>
      <protection/>
    </xf>
    <xf numFmtId="0" fontId="39" fillId="0" borderId="15" xfId="0" applyFont="1" applyBorder="1" applyAlignment="1">
      <alignment horizontal="center"/>
    </xf>
    <xf numFmtId="43" fontId="39" fillId="0" borderId="54" xfId="30" applyFont="1" applyBorder="1" applyAlignment="1">
      <alignment horizontal="right"/>
    </xf>
    <xf numFmtId="43" fontId="39" fillId="0" borderId="15" xfId="30" applyFont="1" applyBorder="1" applyAlignment="1">
      <alignment horizontal="right" vertical="center"/>
    </xf>
    <xf numFmtId="38" fontId="13" fillId="0" borderId="15" xfId="32" applyNumberFormat="1" applyFont="1" applyBorder="1" applyAlignment="1">
      <alignment horizontal="center" vertical="center"/>
    </xf>
    <xf numFmtId="0" fontId="76" fillId="0" borderId="15" xfId="18" applyFont="1" applyBorder="1" applyAlignment="1" applyProtection="1" quotePrefix="1">
      <alignment horizontal="left" vertical="center" wrapText="1"/>
      <protection/>
    </xf>
    <xf numFmtId="40" fontId="15" fillId="0" borderId="15" xfId="32" applyNumberFormat="1" applyFont="1" applyBorder="1" applyProtection="1" quotePrefix="1">
      <alignment horizontal="right" vertical="center"/>
      <protection/>
    </xf>
    <xf numFmtId="40" fontId="22" fillId="0" borderId="97" xfId="32" applyFont="1" applyBorder="1" applyAlignment="1" applyProtection="1" quotePrefix="1">
      <alignment horizontal="left" vertical="center"/>
      <protection/>
    </xf>
    <xf numFmtId="0" fontId="15" fillId="0" borderId="15" xfId="18" applyFont="1" applyBorder="1" applyAlignment="1" applyProtection="1" quotePrefix="1">
      <alignment horizontal="center" vertical="center"/>
      <protection/>
    </xf>
    <xf numFmtId="0" fontId="15" fillId="0" borderId="22" xfId="15" applyFont="1" applyBorder="1" applyAlignment="1">
      <alignment horizontal="center" vertical="center"/>
      <protection/>
    </xf>
    <xf numFmtId="0" fontId="22" fillId="0" borderId="16" xfId="18" applyFont="1" applyBorder="1" applyAlignment="1" applyProtection="1">
      <alignment horizontal="left" vertical="center"/>
      <protection/>
    </xf>
    <xf numFmtId="40" fontId="15" fillId="0" borderId="44" xfId="32" applyFont="1" applyBorder="1" applyAlignment="1">
      <alignment vertical="center"/>
    </xf>
    <xf numFmtId="0" fontId="15" fillId="0" borderId="0" xfId="22" applyFont="1" applyBorder="1" applyAlignment="1">
      <alignment horizontal="left" vertical="center"/>
    </xf>
    <xf numFmtId="40" fontId="15" fillId="0" borderId="0" xfId="32" applyFont="1" applyBorder="1" applyAlignment="1">
      <alignment horizontal="right" vertical="center"/>
    </xf>
    <xf numFmtId="0" fontId="15" fillId="0" borderId="0" xfId="18" applyFont="1" applyBorder="1" applyProtection="1">
      <alignment horizontal="left" vertical="center"/>
      <protection/>
    </xf>
    <xf numFmtId="40" fontId="14" fillId="4" borderId="23" xfId="32" applyFont="1" applyFill="1" applyBorder="1" applyAlignment="1" quotePrefix="1">
      <alignment horizontal="center" vertical="center"/>
    </xf>
    <xf numFmtId="0" fontId="13" fillId="0" borderId="15" xfId="17" applyFont="1" applyBorder="1" applyAlignment="1">
      <alignment horizontal="distributed" vertical="center"/>
      <protection/>
    </xf>
    <xf numFmtId="0" fontId="13" fillId="0" borderId="149" xfId="22" applyFont="1" applyBorder="1" applyAlignment="1">
      <alignment horizontal="centerContinuous" vertical="center"/>
    </xf>
    <xf numFmtId="0" fontId="13" fillId="0" borderId="150" xfId="22" applyFont="1" applyBorder="1" applyAlignment="1">
      <alignment horizontal="centerContinuous" vertical="center"/>
    </xf>
    <xf numFmtId="0" fontId="13" fillId="0" borderId="130" xfId="22" applyFont="1" applyBorder="1" applyAlignment="1">
      <alignment horizontal="center" vertical="center"/>
    </xf>
    <xf numFmtId="40" fontId="13" fillId="0" borderId="97" xfId="32" applyFont="1" applyBorder="1" applyAlignment="1" applyProtection="1" quotePrefix="1">
      <alignment horizontal="left" vertical="center"/>
      <protection/>
    </xf>
    <xf numFmtId="0" fontId="13" fillId="0" borderId="25" xfId="18" applyFont="1" applyBorder="1" applyProtection="1">
      <alignment horizontal="left" vertical="center"/>
      <protection/>
    </xf>
    <xf numFmtId="0" fontId="14" fillId="0" borderId="23" xfId="22" applyFont="1" applyBorder="1" applyAlignment="1">
      <alignment horizontal="center" vertical="center"/>
    </xf>
    <xf numFmtId="0" fontId="13" fillId="0" borderId="54" xfId="22" applyFont="1" applyBorder="1" applyAlignment="1">
      <alignment horizontal="left" vertical="center"/>
    </xf>
    <xf numFmtId="0" fontId="13" fillId="0" borderId="55" xfId="22" applyFont="1" applyBorder="1" applyAlignment="1">
      <alignment vertical="center"/>
    </xf>
    <xf numFmtId="0" fontId="13" fillId="0" borderId="56" xfId="22" applyFont="1" applyBorder="1" applyAlignment="1">
      <alignment vertical="center"/>
    </xf>
    <xf numFmtId="0" fontId="13" fillId="0" borderId="57" xfId="22" applyFont="1" applyBorder="1" applyAlignment="1">
      <alignment vertical="center"/>
    </xf>
    <xf numFmtId="0" fontId="13" fillId="0" borderId="57" xfId="22" applyFont="1" applyBorder="1" applyAlignment="1">
      <alignment horizontal="center" vertical="center"/>
    </xf>
    <xf numFmtId="40" fontId="13" fillId="0" borderId="57" xfId="32" applyFont="1" applyBorder="1" applyAlignment="1">
      <alignment vertical="center"/>
    </xf>
    <xf numFmtId="0" fontId="13" fillId="0" borderId="58" xfId="18" applyFont="1" applyBorder="1" applyProtection="1">
      <alignment horizontal="left" vertical="center"/>
      <protection/>
    </xf>
    <xf numFmtId="40" fontId="13" fillId="0" borderId="64" xfId="32" applyNumberFormat="1" applyFont="1" applyBorder="1" applyAlignment="1">
      <alignment vertical="center"/>
    </xf>
    <xf numFmtId="0" fontId="15" fillId="0" borderId="44" xfId="22" applyFont="1" applyBorder="1" applyAlignment="1">
      <alignment vertical="center"/>
    </xf>
    <xf numFmtId="0" fontId="15" fillId="0" borderId="44" xfId="22" applyFont="1" applyBorder="1" applyAlignment="1">
      <alignment horizontal="left" vertical="center"/>
    </xf>
    <xf numFmtId="40" fontId="15" fillId="0" borderId="44" xfId="32" applyFont="1" applyBorder="1" applyAlignment="1">
      <alignment horizontal="right" vertical="center"/>
    </xf>
    <xf numFmtId="214" fontId="13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201" fontId="16" fillId="4" borderId="15" xfId="30" applyNumberFormat="1" applyFont="1" applyFill="1" applyBorder="1" applyAlignment="1" applyProtection="1">
      <alignment horizontal="right" vertical="center"/>
      <protection/>
    </xf>
    <xf numFmtId="0" fontId="13" fillId="4" borderId="15" xfId="0" applyFont="1" applyFill="1" applyBorder="1" applyAlignment="1">
      <alignment vertical="center"/>
    </xf>
    <xf numFmtId="190" fontId="13" fillId="4" borderId="15" xfId="0" applyNumberFormat="1" applyFont="1" applyFill="1" applyBorder="1" applyAlignment="1">
      <alignment vertical="center"/>
    </xf>
    <xf numFmtId="0" fontId="13" fillId="4" borderId="44" xfId="0" applyFont="1" applyFill="1" applyBorder="1" applyAlignment="1">
      <alignment vertical="center"/>
    </xf>
    <xf numFmtId="190" fontId="13" fillId="4" borderId="44" xfId="0" applyNumberFormat="1" applyFont="1" applyFill="1" applyBorder="1" applyAlignment="1">
      <alignment vertical="center"/>
    </xf>
    <xf numFmtId="199" fontId="13" fillId="4" borderId="44" xfId="0" applyNumberFormat="1" applyFont="1" applyFill="1" applyBorder="1" applyAlignment="1">
      <alignment vertical="center"/>
    </xf>
    <xf numFmtId="0" fontId="15" fillId="0" borderId="64" xfId="22" applyFont="1" applyBorder="1" applyAlignment="1">
      <alignment vertical="center"/>
    </xf>
    <xf numFmtId="40" fontId="13" fillId="0" borderId="58" xfId="32" applyFont="1" applyFill="1" applyBorder="1" applyAlignment="1">
      <alignment horizontal="center" vertical="center" wrapText="1"/>
    </xf>
    <xf numFmtId="4" fontId="13" fillId="0" borderId="14" xfId="19" applyNumberFormat="1" applyFont="1" applyBorder="1" applyAlignment="1" quotePrefix="1">
      <alignment horizontal="center" vertical="center"/>
      <protection/>
    </xf>
    <xf numFmtId="4" fontId="13" fillId="0" borderId="10" xfId="19" applyNumberFormat="1" applyFont="1" applyBorder="1" applyAlignment="1" quotePrefix="1">
      <alignment horizontal="center" vertical="center"/>
      <protection/>
    </xf>
    <xf numFmtId="4" fontId="13" fillId="0" borderId="9" xfId="19" applyNumberFormat="1" applyFont="1" applyBorder="1" applyAlignment="1" quotePrefix="1">
      <alignment horizontal="center" vertical="center"/>
      <protection/>
    </xf>
    <xf numFmtId="0" fontId="17" fillId="0" borderId="126" xfId="22" applyFont="1" applyBorder="1" applyAlignment="1" applyProtection="1" quotePrefix="1">
      <alignment horizontal="left" vertical="center"/>
      <protection/>
    </xf>
    <xf numFmtId="4" fontId="38" fillId="0" borderId="0" xfId="20" applyNumberFormat="1" applyFont="1" applyAlignment="1">
      <alignment horizontal="center" vertical="center"/>
      <protection/>
    </xf>
    <xf numFmtId="0" fontId="13" fillId="0" borderId="128" xfId="20" applyFont="1" applyBorder="1" applyAlignment="1" quotePrefix="1">
      <alignment horizontal="center" vertical="center"/>
      <protection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3" fillId="0" borderId="46" xfId="20" applyFont="1" applyBorder="1" applyAlignment="1" quotePrefix="1">
      <alignment horizontal="center" vertical="center"/>
      <protection/>
    </xf>
    <xf numFmtId="0" fontId="13" fillId="0" borderId="15" xfId="20" applyFont="1" applyBorder="1" applyAlignment="1" quotePrefix="1">
      <alignment horizontal="center" vertical="center"/>
      <protection/>
    </xf>
    <xf numFmtId="0" fontId="13" fillId="0" borderId="16" xfId="20" applyFont="1" applyBorder="1" applyAlignment="1" quotePrefix="1">
      <alignment horizontal="center" vertical="center"/>
      <protection/>
    </xf>
    <xf numFmtId="0" fontId="13" fillId="0" borderId="22" xfId="20" applyFont="1" applyBorder="1" applyAlignment="1" quotePrefix="1">
      <alignment horizontal="center" vertical="center"/>
      <protection/>
    </xf>
    <xf numFmtId="0" fontId="13" fillId="0" borderId="5" xfId="20" applyFont="1" applyBorder="1" applyAlignment="1" quotePrefix="1">
      <alignment horizontal="center" vertical="center"/>
      <protection/>
    </xf>
    <xf numFmtId="0" fontId="13" fillId="0" borderId="17" xfId="20" applyFont="1" applyBorder="1" applyAlignment="1" quotePrefix="1">
      <alignment horizontal="center" vertical="center"/>
      <protection/>
    </xf>
    <xf numFmtId="0" fontId="13" fillId="0" borderId="15" xfId="20" applyFont="1" applyBorder="1" applyAlignment="1">
      <alignment horizontal="center" vertical="center"/>
      <protection/>
    </xf>
    <xf numFmtId="0" fontId="13" fillId="0" borderId="16" xfId="20" applyFont="1" applyBorder="1" applyAlignment="1">
      <alignment horizontal="center" vertical="center"/>
      <protection/>
    </xf>
    <xf numFmtId="4" fontId="5" fillId="0" borderId="148" xfId="19" applyNumberFormat="1" applyFont="1" applyBorder="1" applyAlignment="1">
      <alignment horizontal="center" vertical="center"/>
      <protection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4" fontId="5" fillId="0" borderId="50" xfId="19" applyNumberFormat="1" applyFont="1" applyBorder="1" applyAlignment="1">
      <alignment vertical="center"/>
      <protection/>
    </xf>
    <xf numFmtId="0" fontId="5" fillId="0" borderId="50" xfId="0" applyFont="1" applyBorder="1" applyAlignment="1">
      <alignment vertical="center"/>
    </xf>
    <xf numFmtId="0" fontId="17" fillId="0" borderId="0" xfId="22" applyFont="1" applyAlignment="1" applyProtection="1" quotePrefix="1">
      <alignment horizontal="left" vertical="center" wrapText="1"/>
      <protection/>
    </xf>
    <xf numFmtId="0" fontId="57" fillId="0" borderId="0" xfId="0" applyFont="1" applyAlignment="1">
      <alignment vertical="center"/>
    </xf>
    <xf numFmtId="0" fontId="12" fillId="0" borderId="0" xfId="22" applyFont="1" applyBorder="1" applyAlignment="1" applyProtection="1" quotePrefix="1">
      <alignment horizontal="left" vertical="center"/>
      <protection/>
    </xf>
    <xf numFmtId="0" fontId="12" fillId="0" borderId="154" xfId="19" applyFont="1" applyBorder="1" applyAlignment="1">
      <alignment horizontal="center" vertical="center"/>
      <protection/>
    </xf>
    <xf numFmtId="0" fontId="12" fillId="0" borderId="155" xfId="19" applyFont="1" applyBorder="1" applyAlignment="1">
      <alignment horizontal="center" vertical="center"/>
      <protection/>
    </xf>
    <xf numFmtId="4" fontId="5" fillId="0" borderId="156" xfId="19" applyNumberFormat="1" applyFont="1" applyBorder="1" applyAlignment="1" quotePrefix="1">
      <alignment horizontal="center" vertical="center"/>
      <protection/>
    </xf>
    <xf numFmtId="4" fontId="5" fillId="0" borderId="151" xfId="19" applyNumberFormat="1" applyFont="1" applyBorder="1" applyAlignment="1" quotePrefix="1">
      <alignment horizontal="center" vertical="center"/>
      <protection/>
    </xf>
    <xf numFmtId="4" fontId="5" fillId="0" borderId="153" xfId="19" applyNumberFormat="1" applyFont="1" applyBorder="1" applyAlignment="1" quotePrefix="1">
      <alignment horizontal="center" vertical="center"/>
      <protection/>
    </xf>
    <xf numFmtId="0" fontId="13" fillId="0" borderId="56" xfId="18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2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/>
    </xf>
    <xf numFmtId="0" fontId="32" fillId="0" borderId="15" xfId="0" applyFont="1" applyBorder="1" applyAlignment="1">
      <alignment horizontal="center"/>
    </xf>
    <xf numFmtId="10" fontId="32" fillId="0" borderId="57" xfId="34" applyNumberFormat="1" applyFont="1" applyBorder="1" applyAlignment="1">
      <alignment horizontal="center" vertical="center"/>
    </xf>
    <xf numFmtId="10" fontId="0" fillId="0" borderId="130" xfId="34" applyNumberFormat="1" applyBorder="1" applyAlignment="1">
      <alignment/>
    </xf>
    <xf numFmtId="4" fontId="12" fillId="0" borderId="0" xfId="19" applyNumberFormat="1" applyFont="1" applyBorder="1" applyAlignment="1">
      <alignment horizontal="left" vertical="center"/>
      <protection/>
    </xf>
    <xf numFmtId="4" fontId="12" fillId="0" borderId="37" xfId="19" applyNumberFormat="1" applyFont="1" applyBorder="1" applyAlignment="1">
      <alignment horizontal="center" vertical="center"/>
      <protection/>
    </xf>
    <xf numFmtId="4" fontId="12" fillId="0" borderId="0" xfId="19" applyNumberFormat="1" applyFont="1" applyBorder="1" applyAlignment="1">
      <alignment horizontal="center" vertical="center"/>
      <protection/>
    </xf>
    <xf numFmtId="4" fontId="13" fillId="0" borderId="151" xfId="19" applyNumberFormat="1" applyFont="1" applyBorder="1" applyAlignment="1" quotePrefix="1">
      <alignment horizontal="center" vertical="center"/>
      <protection/>
    </xf>
    <xf numFmtId="4" fontId="13" fillId="0" borderId="152" xfId="19" applyNumberFormat="1" applyFont="1" applyBorder="1" applyAlignment="1" quotePrefix="1">
      <alignment horizontal="center" vertical="center"/>
      <protection/>
    </xf>
    <xf numFmtId="0" fontId="12" fillId="4" borderId="126" xfId="22" applyFont="1" applyFill="1" applyBorder="1" applyAlignment="1" applyProtection="1" quotePrefix="1">
      <alignment horizontal="left" vertical="center"/>
      <protection/>
    </xf>
    <xf numFmtId="4" fontId="13" fillId="0" borderId="46" xfId="19" applyNumberFormat="1" applyFont="1" applyBorder="1" applyAlignment="1" quotePrefix="1">
      <alignment horizontal="center" vertical="center"/>
      <protection/>
    </xf>
    <xf numFmtId="4" fontId="13" fillId="0" borderId="15" xfId="19" applyNumberFormat="1" applyFont="1" applyBorder="1" applyAlignment="1" quotePrefix="1">
      <alignment horizontal="center" vertical="center"/>
      <protection/>
    </xf>
    <xf numFmtId="4" fontId="13" fillId="0" borderId="16" xfId="19" applyNumberFormat="1" applyFont="1" applyBorder="1" applyAlignment="1" quotePrefix="1">
      <alignment horizontal="center" vertical="center"/>
      <protection/>
    </xf>
    <xf numFmtId="4" fontId="20" fillId="0" borderId="0" xfId="25" applyNumberFormat="1" applyFont="1" applyAlignment="1" applyProtection="1">
      <alignment horizontal="center" vertical="center"/>
      <protection/>
    </xf>
    <xf numFmtId="0" fontId="11" fillId="0" borderId="0" xfId="25" applyFont="1" applyAlignment="1" applyProtection="1" quotePrefix="1">
      <alignment horizontal="center" vertical="center"/>
      <protection/>
    </xf>
    <xf numFmtId="0" fontId="12" fillId="0" borderId="0" xfId="22" applyFont="1" applyAlignment="1" applyProtection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2" fillId="0" borderId="157" xfId="25" applyFont="1" applyBorder="1" applyAlignment="1" applyProtection="1">
      <alignment horizontal="center" vertical="center"/>
      <protection/>
    </xf>
    <xf numFmtId="0" fontId="32" fillId="0" borderId="69" xfId="25" applyFont="1" applyBorder="1" applyAlignment="1" applyProtection="1">
      <alignment horizontal="center" vertical="center"/>
      <protection/>
    </xf>
    <xf numFmtId="0" fontId="12" fillId="0" borderId="66" xfId="25" applyFont="1" applyBorder="1" applyAlignment="1" applyProtection="1">
      <alignment horizontal="center" vertical="center"/>
      <protection/>
    </xf>
    <xf numFmtId="0" fontId="12" fillId="0" borderId="67" xfId="25" applyFont="1" applyBorder="1" applyAlignment="1" applyProtection="1">
      <alignment horizontal="center" vertical="center"/>
      <protection/>
    </xf>
    <xf numFmtId="0" fontId="12" fillId="0" borderId="158" xfId="25" applyFont="1" applyBorder="1" applyAlignment="1" applyProtection="1">
      <alignment horizontal="center" vertical="center"/>
      <protection/>
    </xf>
    <xf numFmtId="0" fontId="12" fillId="0" borderId="74" xfId="25" applyFont="1" applyBorder="1" applyAlignment="1" applyProtection="1">
      <alignment horizontal="center" vertical="center" wrapText="1"/>
      <protection/>
    </xf>
    <xf numFmtId="0" fontId="12" fillId="0" borderId="77" xfId="25" applyFont="1" applyBorder="1" applyAlignment="1" applyProtection="1">
      <alignment horizontal="center" vertical="center" wrapText="1"/>
      <protection/>
    </xf>
    <xf numFmtId="0" fontId="12" fillId="0" borderId="159" xfId="25" applyFont="1" applyBorder="1" applyAlignment="1" applyProtection="1">
      <alignment horizontal="center" vertical="center"/>
      <protection/>
    </xf>
    <xf numFmtId="0" fontId="12" fillId="0" borderId="160" xfId="25" applyFont="1" applyBorder="1" applyAlignment="1" applyProtection="1">
      <alignment horizontal="center" vertical="center"/>
      <protection/>
    </xf>
    <xf numFmtId="181" fontId="58" fillId="0" borderId="69" xfId="25" applyNumberFormat="1" applyFont="1" applyBorder="1" applyAlignment="1" applyProtection="1" quotePrefix="1">
      <alignment horizontal="right" vertical="center"/>
      <protection/>
    </xf>
    <xf numFmtId="0" fontId="59" fillId="0" borderId="69" xfId="0" applyFont="1" applyBorder="1" applyAlignment="1">
      <alignment horizontal="right" vertical="center"/>
    </xf>
    <xf numFmtId="187" fontId="60" fillId="0" borderId="69" xfId="0" applyNumberFormat="1" applyFont="1" applyBorder="1" applyAlignment="1">
      <alignment horizontal="left" vertical="center"/>
    </xf>
    <xf numFmtId="0" fontId="59" fillId="0" borderId="69" xfId="0" applyFont="1" applyBorder="1" applyAlignment="1">
      <alignment horizontal="left" vertical="center"/>
    </xf>
    <xf numFmtId="204" fontId="60" fillId="0" borderId="69" xfId="0" applyNumberFormat="1" applyFont="1" applyBorder="1" applyAlignment="1">
      <alignment horizontal="left" vertical="center"/>
    </xf>
    <xf numFmtId="0" fontId="14" fillId="0" borderId="157" xfId="25" applyFont="1" applyBorder="1" applyAlignment="1" applyProtection="1">
      <alignment horizontal="center" vertical="center"/>
      <protection/>
    </xf>
    <xf numFmtId="0" fontId="14" fillId="0" borderId="69" xfId="25" applyFont="1" applyBorder="1" applyAlignment="1" applyProtection="1">
      <alignment horizontal="center" vertical="center"/>
      <protection/>
    </xf>
    <xf numFmtId="0" fontId="14" fillId="0" borderId="161" xfId="25" applyFont="1" applyBorder="1" applyAlignment="1" applyProtection="1">
      <alignment horizontal="center" vertical="center"/>
      <protection/>
    </xf>
    <xf numFmtId="201" fontId="5" fillId="0" borderId="105" xfId="0" applyNumberFormat="1" applyFont="1" applyBorder="1" applyAlignment="1">
      <alignment horizontal="center" vertical="center"/>
    </xf>
    <xf numFmtId="201" fontId="5" fillId="0" borderId="161" xfId="0" applyNumberFormat="1" applyFont="1" applyBorder="1" applyAlignment="1">
      <alignment horizontal="center" vertical="center"/>
    </xf>
    <xf numFmtId="0" fontId="13" fillId="0" borderId="22" xfId="22" applyFont="1" applyBorder="1" applyAlignment="1">
      <alignment horizontal="distributed" vertical="distributed"/>
    </xf>
    <xf numFmtId="0" fontId="13" fillId="0" borderId="54" xfId="22" applyFont="1" applyBorder="1" applyAlignment="1">
      <alignment horizontal="distributed" vertical="distributed"/>
    </xf>
    <xf numFmtId="0" fontId="13" fillId="0" borderId="22" xfId="22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3" fillId="0" borderId="22" xfId="22" applyFont="1" applyBorder="1" applyAlignment="1">
      <alignment horizontal="distributed" vertical="center"/>
    </xf>
    <xf numFmtId="0" fontId="24" fillId="0" borderId="54" xfId="0" applyFont="1" applyBorder="1" applyAlignment="1">
      <alignment horizontal="distributed" vertical="center"/>
    </xf>
    <xf numFmtId="0" fontId="13" fillId="0" borderId="54" xfId="0" applyFont="1" applyBorder="1" applyAlignment="1">
      <alignment horizontal="distributed" vertical="distributed"/>
    </xf>
    <xf numFmtId="0" fontId="13" fillId="0" borderId="22" xfId="15" applyFont="1" applyBorder="1" applyAlignment="1">
      <alignment horizontal="center" vertical="center"/>
      <protection/>
    </xf>
    <xf numFmtId="0" fontId="13" fillId="0" borderId="54" xfId="15" applyFont="1" applyBorder="1" applyAlignment="1">
      <alignment horizontal="center" vertical="center"/>
      <protection/>
    </xf>
    <xf numFmtId="0" fontId="13" fillId="0" borderId="22" xfId="15" applyFont="1" applyBorder="1" applyAlignment="1">
      <alignment horizontal="left" vertical="center"/>
      <protection/>
    </xf>
    <xf numFmtId="0" fontId="13" fillId="0" borderId="54" xfId="15" applyFont="1" applyBorder="1" applyAlignment="1">
      <alignment horizontal="left" vertical="center"/>
      <protection/>
    </xf>
    <xf numFmtId="0" fontId="39" fillId="4" borderId="22" xfId="22" applyFont="1" applyFill="1" applyBorder="1" applyAlignment="1">
      <alignment horizontal="distributed" vertical="center"/>
    </xf>
    <xf numFmtId="0" fontId="39" fillId="4" borderId="54" xfId="0" applyFont="1" applyFill="1" applyBorder="1" applyAlignment="1">
      <alignment horizontal="distributed" vertical="center"/>
    </xf>
    <xf numFmtId="0" fontId="12" fillId="0" borderId="0" xfId="22" applyFont="1" applyAlignment="1" applyProtection="1" quotePrefix="1">
      <alignment horizontal="left" vertical="center"/>
      <protection/>
    </xf>
    <xf numFmtId="216" fontId="13" fillId="0" borderId="0" xfId="22" applyNumberFormat="1" applyFont="1" applyBorder="1" applyAlignment="1" applyProtection="1">
      <alignment horizontal="right" vertical="center"/>
      <protection/>
    </xf>
    <xf numFmtId="0" fontId="0" fillId="0" borderId="54" xfId="0" applyBorder="1" applyAlignment="1">
      <alignment horizontal="center" vertical="center"/>
    </xf>
    <xf numFmtId="0" fontId="45" fillId="4" borderId="22" xfId="22" applyFont="1" applyFill="1" applyBorder="1" applyAlignment="1">
      <alignment horizontal="distributed" vertical="center"/>
    </xf>
    <xf numFmtId="0" fontId="45" fillId="4" borderId="54" xfId="0" applyFont="1" applyFill="1" applyBorder="1" applyAlignment="1">
      <alignment horizontal="distributed" vertical="center"/>
    </xf>
    <xf numFmtId="0" fontId="13" fillId="0" borderId="127" xfId="22" applyFont="1" applyFill="1" applyBorder="1" applyAlignment="1">
      <alignment horizontal="center" vertical="center"/>
    </xf>
    <xf numFmtId="0" fontId="13" fillId="0" borderId="20" xfId="22" applyFont="1" applyFill="1" applyBorder="1" applyAlignment="1">
      <alignment horizontal="center" vertical="center"/>
    </xf>
    <xf numFmtId="0" fontId="13" fillId="0" borderId="136" xfId="22" applyFont="1" applyFill="1" applyBorder="1" applyAlignment="1">
      <alignment horizontal="center" vertical="center"/>
    </xf>
    <xf numFmtId="0" fontId="39" fillId="4" borderId="127" xfId="22" applyFont="1" applyFill="1" applyBorder="1" applyAlignment="1">
      <alignment horizontal="center" vertical="center"/>
    </xf>
    <xf numFmtId="0" fontId="39" fillId="4" borderId="20" xfId="22" applyFont="1" applyFill="1" applyBorder="1" applyAlignment="1">
      <alignment horizontal="center" vertical="center"/>
    </xf>
    <xf numFmtId="0" fontId="39" fillId="4" borderId="136" xfId="22" applyFont="1" applyFill="1" applyBorder="1" applyAlignment="1">
      <alignment horizontal="center" vertical="center"/>
    </xf>
    <xf numFmtId="0" fontId="13" fillId="0" borderId="127" xfId="2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54" xfId="0" applyBorder="1" applyAlignment="1">
      <alignment horizontal="distributed" vertical="center"/>
    </xf>
    <xf numFmtId="0" fontId="15" fillId="0" borderId="22" xfId="22" applyFont="1" applyBorder="1" applyAlignment="1">
      <alignment horizontal="distributed" vertical="distributed"/>
    </xf>
    <xf numFmtId="0" fontId="12" fillId="0" borderId="54" xfId="0" applyFont="1" applyBorder="1" applyAlignment="1">
      <alignment horizontal="distributed" vertical="distributed"/>
    </xf>
    <xf numFmtId="0" fontId="13" fillId="0" borderId="54" xfId="22" applyFont="1" applyBorder="1" applyAlignment="1">
      <alignment horizontal="distributed" vertical="center"/>
    </xf>
    <xf numFmtId="0" fontId="5" fillId="0" borderId="22" xfId="22" applyFont="1" applyBorder="1" applyAlignment="1">
      <alignment horizontal="distributed" vertical="distributed"/>
    </xf>
    <xf numFmtId="0" fontId="13" fillId="4" borderId="22" xfId="22" applyFont="1" applyFill="1" applyBorder="1" applyAlignment="1">
      <alignment horizontal="distributed" vertical="center"/>
    </xf>
    <xf numFmtId="0" fontId="13" fillId="4" borderId="54" xfId="22" applyFont="1" applyFill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54" xfId="22" applyFont="1" applyBorder="1" applyAlignment="1">
      <alignment horizontal="center" vertical="center"/>
    </xf>
    <xf numFmtId="0" fontId="13" fillId="0" borderId="127" xfId="22" applyFont="1" applyBorder="1" applyAlignment="1" quotePrefix="1">
      <alignment horizontal="center" vertical="center"/>
    </xf>
    <xf numFmtId="0" fontId="13" fillId="0" borderId="20" xfId="22" applyFont="1" applyBorder="1" applyAlignment="1">
      <alignment horizontal="center" vertical="center"/>
    </xf>
    <xf numFmtId="0" fontId="13" fillId="0" borderId="136" xfId="22" applyFont="1" applyBorder="1" applyAlignment="1">
      <alignment horizontal="center" vertical="center"/>
    </xf>
    <xf numFmtId="0" fontId="13" fillId="0" borderId="5" xfId="22" applyFont="1" applyBorder="1" applyAlignment="1">
      <alignment horizontal="distributed" vertical="distributed"/>
    </xf>
    <xf numFmtId="216" fontId="13" fillId="0" borderId="126" xfId="22" applyNumberFormat="1" applyFont="1" applyBorder="1" applyAlignment="1" applyProtection="1">
      <alignment horizontal="right" vertical="center"/>
      <protection/>
    </xf>
    <xf numFmtId="0" fontId="13" fillId="0" borderId="20" xfId="22" applyFont="1" applyBorder="1" applyAlignment="1" quotePrefix="1">
      <alignment horizontal="center" vertical="center"/>
    </xf>
    <xf numFmtId="0" fontId="13" fillId="0" borderId="136" xfId="22" applyFont="1" applyBorder="1" applyAlignment="1" quotePrefix="1">
      <alignment horizontal="center" vertical="center"/>
    </xf>
    <xf numFmtId="0" fontId="13" fillId="0" borderId="127" xfId="22" applyFont="1" applyFill="1" applyBorder="1" applyAlignment="1" quotePrefix="1">
      <alignment horizontal="center" vertical="center"/>
    </xf>
    <xf numFmtId="0" fontId="13" fillId="0" borderId="20" xfId="22" applyFont="1" applyFill="1" applyBorder="1" applyAlignment="1" quotePrefix="1">
      <alignment horizontal="center" vertical="center"/>
    </xf>
    <xf numFmtId="0" fontId="13" fillId="0" borderId="136" xfId="22" applyFont="1" applyFill="1" applyBorder="1" applyAlignment="1" quotePrefix="1">
      <alignment horizontal="center" vertical="center"/>
    </xf>
    <xf numFmtId="0" fontId="13" fillId="0" borderId="53" xfId="22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4" borderId="22" xfId="22" applyFont="1" applyFill="1" applyBorder="1" applyAlignment="1" quotePrefix="1">
      <alignment horizontal="distributed" vertical="center"/>
    </xf>
    <xf numFmtId="0" fontId="13" fillId="4" borderId="54" xfId="22" applyFont="1" applyFill="1" applyBorder="1" applyAlignment="1" quotePrefix="1">
      <alignment horizontal="distributed" vertical="center"/>
    </xf>
    <xf numFmtId="0" fontId="13" fillId="4" borderId="54" xfId="0" applyFont="1" applyFill="1" applyBorder="1" applyAlignment="1">
      <alignment horizontal="distributed" vertical="center"/>
    </xf>
    <xf numFmtId="0" fontId="13" fillId="0" borderId="127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136" xfId="0" applyFont="1" applyBorder="1" applyAlignment="1" quotePrefix="1">
      <alignment horizontal="center" vertical="center"/>
    </xf>
    <xf numFmtId="0" fontId="13" fillId="4" borderId="22" xfId="15" applyFont="1" applyFill="1" applyBorder="1" applyAlignment="1">
      <alignment horizontal="distributed" vertical="center"/>
      <protection/>
    </xf>
    <xf numFmtId="0" fontId="13" fillId="4" borderId="54" xfId="15" applyFont="1" applyFill="1" applyBorder="1" applyAlignment="1">
      <alignment horizontal="distributed" vertical="center"/>
      <protection/>
    </xf>
    <xf numFmtId="0" fontId="13" fillId="4" borderId="22" xfId="22" applyFont="1" applyFill="1" applyBorder="1" applyAlignment="1">
      <alignment horizontal="distributed" vertical="distributed"/>
    </xf>
    <xf numFmtId="0" fontId="13" fillId="4" borderId="54" xfId="22" applyFont="1" applyFill="1" applyBorder="1" applyAlignment="1">
      <alignment horizontal="distributed" vertical="distributed"/>
    </xf>
    <xf numFmtId="0" fontId="13" fillId="0" borderId="22" xfId="22" applyFont="1" applyBorder="1" applyAlignment="1" quotePrefix="1">
      <alignment horizontal="distributed" vertical="center"/>
    </xf>
    <xf numFmtId="0" fontId="15" fillId="0" borderId="46" xfId="22" applyFont="1" applyBorder="1" applyAlignment="1">
      <alignment horizontal="distributed" vertical="distributed"/>
    </xf>
    <xf numFmtId="0" fontId="15" fillId="0" borderId="15" xfId="0" applyFont="1" applyBorder="1" applyAlignment="1">
      <alignment/>
    </xf>
    <xf numFmtId="0" fontId="13" fillId="4" borderId="127" xfId="23" applyFont="1" applyFill="1" applyBorder="1" applyAlignment="1">
      <alignment horizontal="center" vertical="center"/>
    </xf>
    <xf numFmtId="0" fontId="13" fillId="4" borderId="20" xfId="23" applyFont="1" applyFill="1" applyBorder="1" applyAlignment="1">
      <alignment horizontal="center" vertical="center"/>
    </xf>
    <xf numFmtId="0" fontId="13" fillId="4" borderId="136" xfId="23" applyFont="1" applyFill="1" applyBorder="1" applyAlignment="1">
      <alignment horizontal="center" vertical="center"/>
    </xf>
    <xf numFmtId="0" fontId="13" fillId="0" borderId="127" xfId="17" applyFont="1" applyBorder="1" applyAlignment="1">
      <alignment horizontal="center" vertical="center"/>
      <protection/>
    </xf>
    <xf numFmtId="0" fontId="13" fillId="0" borderId="20" xfId="17" applyFont="1" applyBorder="1" applyAlignment="1">
      <alignment horizontal="center" vertical="center"/>
      <protection/>
    </xf>
    <xf numFmtId="0" fontId="13" fillId="0" borderId="136" xfId="17" applyFont="1" applyBorder="1" applyAlignment="1">
      <alignment horizontal="center" vertical="center"/>
      <protection/>
    </xf>
    <xf numFmtId="0" fontId="13" fillId="0" borderId="46" xfId="22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4" borderId="22" xfId="22" applyFont="1" applyFill="1" applyBorder="1" applyAlignment="1">
      <alignment horizontal="center" vertical="center"/>
    </xf>
    <xf numFmtId="0" fontId="13" fillId="4" borderId="54" xfId="22" applyFont="1" applyFill="1" applyBorder="1" applyAlignment="1">
      <alignment horizontal="center" vertical="center"/>
    </xf>
    <xf numFmtId="0" fontId="13" fillId="0" borderId="52" xfId="22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146" xfId="0" applyFont="1" applyBorder="1" applyAlignment="1">
      <alignment vertical="center"/>
    </xf>
    <xf numFmtId="0" fontId="15" fillId="0" borderId="54" xfId="22" applyFont="1" applyBorder="1" applyAlignment="1">
      <alignment horizontal="distributed" vertical="distributed"/>
    </xf>
    <xf numFmtId="0" fontId="13" fillId="0" borderId="46" xfId="22" applyFont="1" applyBorder="1" applyAlignment="1">
      <alignment horizontal="distributed" vertical="distributed"/>
    </xf>
    <xf numFmtId="0" fontId="13" fillId="0" borderId="15" xfId="0" applyFont="1" applyBorder="1" applyAlignment="1">
      <alignment/>
    </xf>
    <xf numFmtId="0" fontId="13" fillId="0" borderId="15" xfId="22" applyFont="1" applyBorder="1" applyAlignment="1">
      <alignment horizontal="distributed" vertical="distributed"/>
    </xf>
    <xf numFmtId="40" fontId="15" fillId="0" borderId="127" xfId="32" applyFont="1" applyBorder="1" applyAlignment="1" applyProtection="1" quotePrefix="1">
      <alignment horizontal="center" vertical="center"/>
      <protection/>
    </xf>
    <xf numFmtId="40" fontId="15" fillId="0" borderId="20" xfId="32" applyFont="1" applyBorder="1" applyAlignment="1" applyProtection="1" quotePrefix="1">
      <alignment horizontal="center" vertical="center"/>
      <protection/>
    </xf>
    <xf numFmtId="40" fontId="15" fillId="0" borderId="136" xfId="32" applyFont="1" applyBorder="1" applyAlignment="1" applyProtection="1" quotePrefix="1">
      <alignment horizontal="center" vertical="center"/>
      <protection/>
    </xf>
    <xf numFmtId="0" fontId="13" fillId="0" borderId="22" xfId="22" applyFont="1" applyBorder="1" applyAlignment="1" quotePrefix="1">
      <alignment horizontal="distributed" vertical="distributed"/>
    </xf>
    <xf numFmtId="0" fontId="13" fillId="4" borderId="127" xfId="22" applyFont="1" applyFill="1" applyBorder="1" applyAlignment="1">
      <alignment horizontal="center" vertical="center"/>
    </xf>
    <xf numFmtId="0" fontId="13" fillId="4" borderId="20" xfId="22" applyFont="1" applyFill="1" applyBorder="1" applyAlignment="1">
      <alignment horizontal="center" vertical="center"/>
    </xf>
    <xf numFmtId="0" fontId="13" fillId="4" borderId="136" xfId="22" applyFont="1" applyFill="1" applyBorder="1" applyAlignment="1">
      <alignment horizontal="center" vertical="center"/>
    </xf>
    <xf numFmtId="0" fontId="13" fillId="4" borderId="127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36" xfId="0" applyFont="1" applyFill="1" applyBorder="1" applyAlignment="1">
      <alignment horizontal="center" vertical="center"/>
    </xf>
    <xf numFmtId="40" fontId="13" fillId="4" borderId="127" xfId="32" applyFont="1" applyFill="1" applyBorder="1" applyAlignment="1" applyProtection="1" quotePrefix="1">
      <alignment horizontal="center" vertical="center"/>
      <protection/>
    </xf>
    <xf numFmtId="40" fontId="13" fillId="4" borderId="20" xfId="32" applyFont="1" applyFill="1" applyBorder="1" applyAlignment="1" applyProtection="1" quotePrefix="1">
      <alignment horizontal="center" vertical="center"/>
      <protection/>
    </xf>
    <xf numFmtId="40" fontId="13" fillId="4" borderId="136" xfId="32" applyFont="1" applyFill="1" applyBorder="1" applyAlignment="1" applyProtection="1" quotePrefix="1">
      <alignment horizontal="center" vertical="center"/>
      <protection/>
    </xf>
    <xf numFmtId="0" fontId="15" fillId="4" borderId="22" xfId="22" applyFont="1" applyFill="1" applyBorder="1" applyAlignment="1">
      <alignment horizontal="distributed" vertical="center"/>
    </xf>
    <xf numFmtId="0" fontId="15" fillId="4" borderId="54" xfId="22" applyFont="1" applyFill="1" applyBorder="1" applyAlignment="1">
      <alignment horizontal="distributed" vertical="center"/>
    </xf>
    <xf numFmtId="40" fontId="15" fillId="4" borderId="22" xfId="32" applyFont="1" applyFill="1" applyBorder="1" applyAlignment="1" applyProtection="1">
      <alignment horizontal="center" vertical="center"/>
      <protection/>
    </xf>
    <xf numFmtId="40" fontId="15" fillId="4" borderId="5" xfId="32" applyFont="1" applyFill="1" applyBorder="1" applyAlignment="1" applyProtection="1">
      <alignment horizontal="center" vertical="center"/>
      <protection/>
    </xf>
    <xf numFmtId="40" fontId="15" fillId="4" borderId="54" xfId="32" applyFont="1" applyFill="1" applyBorder="1" applyAlignment="1" applyProtection="1">
      <alignment horizontal="center" vertical="center"/>
      <protection/>
    </xf>
    <xf numFmtId="0" fontId="13" fillId="0" borderId="54" xfId="0" applyFont="1" applyBorder="1" applyAlignment="1">
      <alignment horizontal="distributed" vertical="center"/>
    </xf>
    <xf numFmtId="0" fontId="13" fillId="0" borderId="85" xfId="0" applyFont="1" applyFill="1" applyBorder="1" applyAlignment="1">
      <alignment horizontal="distributed" vertical="center"/>
    </xf>
    <xf numFmtId="0" fontId="13" fillId="0" borderId="162" xfId="0" applyFont="1" applyFill="1" applyBorder="1" applyAlignment="1">
      <alignment vertical="center"/>
    </xf>
    <xf numFmtId="0" fontId="13" fillId="0" borderId="163" xfId="0" applyFont="1" applyBorder="1" applyAlignment="1">
      <alignment vertical="center"/>
    </xf>
    <xf numFmtId="0" fontId="13" fillId="0" borderId="22" xfId="0" applyFont="1" applyBorder="1" applyAlignment="1">
      <alignment horizontal="distributed" vertical="center"/>
    </xf>
    <xf numFmtId="0" fontId="13" fillId="0" borderId="22" xfId="22" applyFont="1" applyFill="1" applyBorder="1" applyAlignment="1">
      <alignment horizontal="distributed" vertical="distributed"/>
    </xf>
    <xf numFmtId="0" fontId="13" fillId="0" borderId="54" xfId="22" applyFont="1" applyFill="1" applyBorder="1" applyAlignment="1">
      <alignment horizontal="distributed" vertical="distributed"/>
    </xf>
    <xf numFmtId="0" fontId="13" fillId="0" borderId="22" xfId="15" applyFont="1" applyBorder="1" applyAlignment="1">
      <alignment horizontal="distributed" vertical="center"/>
      <protection/>
    </xf>
    <xf numFmtId="0" fontId="13" fillId="0" borderId="54" xfId="15" applyFont="1" applyBorder="1" applyAlignment="1">
      <alignment horizontal="distributed" vertical="center"/>
      <protection/>
    </xf>
    <xf numFmtId="0" fontId="13" fillId="0" borderId="22" xfId="22" applyFont="1" applyFill="1" applyBorder="1" applyAlignment="1">
      <alignment horizontal="distributed" vertical="center"/>
    </xf>
    <xf numFmtId="0" fontId="13" fillId="0" borderId="54" xfId="22" applyFont="1" applyFill="1" applyBorder="1" applyAlignment="1">
      <alignment horizontal="distributed" vertical="center"/>
    </xf>
    <xf numFmtId="0" fontId="14" fillId="0" borderId="53" xfId="22" applyFont="1" applyBorder="1" applyAlignment="1">
      <alignment horizontal="center" vertical="center"/>
    </xf>
    <xf numFmtId="0" fontId="14" fillId="0" borderId="23" xfId="22" applyFont="1" applyBorder="1" applyAlignment="1">
      <alignment horizontal="center" vertical="center"/>
    </xf>
    <xf numFmtId="0" fontId="12" fillId="0" borderId="0" xfId="23" applyFont="1" applyAlignment="1" applyProtection="1" quotePrefix="1">
      <alignment horizontal="left" vertical="center" wrapText="1"/>
      <protection/>
    </xf>
    <xf numFmtId="0" fontId="12" fillId="0" borderId="0" xfId="23" applyFont="1" applyBorder="1" applyAlignment="1" applyProtection="1" quotePrefix="1">
      <alignment horizontal="left" vertical="center"/>
      <protection/>
    </xf>
    <xf numFmtId="0" fontId="12" fillId="0" borderId="126" xfId="23" applyFont="1" applyBorder="1" applyAlignment="1" applyProtection="1" quotePrefix="1">
      <alignment horizontal="left" vertical="center"/>
      <protection/>
    </xf>
    <xf numFmtId="0" fontId="12" fillId="4" borderId="22" xfId="15" applyFont="1" applyFill="1" applyBorder="1" applyAlignment="1" quotePrefix="1">
      <alignment horizontal="center" vertical="center"/>
      <protection/>
    </xf>
    <xf numFmtId="0" fontId="12" fillId="4" borderId="5" xfId="15" applyFont="1" applyFill="1" applyBorder="1" applyAlignment="1" quotePrefix="1">
      <alignment horizontal="center" vertical="center"/>
      <protection/>
    </xf>
    <xf numFmtId="0" fontId="12" fillId="4" borderId="17" xfId="15" applyFont="1" applyFill="1" applyBorder="1" applyAlignment="1" quotePrefix="1">
      <alignment horizontal="center" vertical="center"/>
      <protection/>
    </xf>
    <xf numFmtId="0" fontId="12" fillId="0" borderId="22" xfId="15" applyFont="1" applyBorder="1" applyAlignment="1" quotePrefix="1">
      <alignment horizontal="center" vertical="center"/>
      <protection/>
    </xf>
    <xf numFmtId="0" fontId="12" fillId="0" borderId="5" xfId="15" applyFont="1" applyBorder="1" applyAlignment="1" quotePrefix="1">
      <alignment horizontal="center" vertical="center"/>
      <protection/>
    </xf>
    <xf numFmtId="0" fontId="12" fillId="0" borderId="0" xfId="23" applyFont="1" applyBorder="1" applyAlignment="1" applyProtection="1" quotePrefix="1">
      <alignment horizontal="left" vertical="center" wrapText="1"/>
      <protection/>
    </xf>
    <xf numFmtId="0" fontId="0" fillId="0" borderId="0" xfId="0" applyBorder="1" applyAlignment="1">
      <alignment wrapText="1"/>
    </xf>
    <xf numFmtId="0" fontId="44" fillId="4" borderId="22" xfId="23" applyFont="1" applyFill="1" applyBorder="1" applyAlignment="1">
      <alignment vertical="center"/>
    </xf>
    <xf numFmtId="0" fontId="44" fillId="4" borderId="5" xfId="23" applyFont="1" applyFill="1" applyBorder="1" applyAlignment="1">
      <alignment vertical="center"/>
    </xf>
    <xf numFmtId="0" fontId="44" fillId="4" borderId="17" xfId="23" applyFont="1" applyFill="1" applyBorder="1" applyAlignment="1">
      <alignment vertical="center"/>
    </xf>
    <xf numFmtId="0" fontId="44" fillId="4" borderId="22" xfId="22" applyFont="1" applyFill="1" applyBorder="1" applyAlignment="1" quotePrefix="1">
      <alignment horizontal="left" vertical="center"/>
    </xf>
    <xf numFmtId="0" fontId="44" fillId="4" borderId="5" xfId="22" applyFont="1" applyFill="1" applyBorder="1" applyAlignment="1" quotePrefix="1">
      <alignment horizontal="left" vertical="center"/>
    </xf>
    <xf numFmtId="0" fontId="44" fillId="4" borderId="17" xfId="22" applyFont="1" applyFill="1" applyBorder="1" applyAlignment="1" quotePrefix="1">
      <alignment horizontal="left" vertical="center"/>
    </xf>
    <xf numFmtId="191" fontId="12" fillId="4" borderId="0" xfId="22" applyNumberFormat="1" applyFont="1" applyFill="1" applyBorder="1" applyAlignment="1" applyProtection="1" quotePrefix="1">
      <alignment horizontal="left" vertical="center" wrapText="1"/>
      <protection/>
    </xf>
    <xf numFmtId="191" fontId="38" fillId="4" borderId="0" xfId="0" applyNumberFormat="1" applyFont="1" applyFill="1" applyBorder="1" applyAlignment="1">
      <alignment horizontal="center"/>
    </xf>
    <xf numFmtId="0" fontId="12" fillId="4" borderId="0" xfId="22" applyFont="1" applyFill="1" applyBorder="1" applyAlignment="1" applyProtection="1" quotePrefix="1">
      <alignment horizontal="left" vertical="center" shrinkToFit="1"/>
      <protection/>
    </xf>
    <xf numFmtId="191" fontId="13" fillId="4" borderId="0" xfId="0" applyNumberFormat="1" applyFont="1" applyFill="1" applyBorder="1" applyAlignment="1" quotePrefix="1">
      <alignment horizontal="center"/>
    </xf>
    <xf numFmtId="0" fontId="12" fillId="4" borderId="57" xfId="0" applyFont="1" applyFill="1" applyBorder="1" applyAlignment="1">
      <alignment horizontal="center" vertical="center" wrapText="1"/>
    </xf>
    <xf numFmtId="0" fontId="12" fillId="4" borderId="130" xfId="0" applyFont="1" applyFill="1" applyBorder="1" applyAlignment="1">
      <alignment horizontal="center" vertical="center" wrapText="1"/>
    </xf>
    <xf numFmtId="0" fontId="12" fillId="4" borderId="126" xfId="22" applyFont="1" applyFill="1" applyBorder="1" applyAlignment="1" applyProtection="1" quotePrefix="1">
      <alignment horizontal="left" vertical="center" shrinkToFit="1"/>
      <protection/>
    </xf>
    <xf numFmtId="0" fontId="12" fillId="4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6" fillId="0" borderId="85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2" fillId="4" borderId="127" xfId="0" applyFont="1" applyFill="1" applyBorder="1" applyAlignment="1" applyProtection="1" quotePrefix="1">
      <alignment horizontal="center" vertical="center"/>
      <protection/>
    </xf>
    <xf numFmtId="0" fontId="12" fillId="4" borderId="20" xfId="0" applyFont="1" applyFill="1" applyBorder="1" applyAlignment="1" applyProtection="1" quotePrefix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85" fontId="12" fillId="4" borderId="0" xfId="0" applyNumberFormat="1" applyFont="1" applyFill="1" applyBorder="1" applyAlignment="1" quotePrefix="1">
      <alignment horizontal="center" vertical="center"/>
    </xf>
    <xf numFmtId="0" fontId="17" fillId="4" borderId="42" xfId="0" applyFont="1" applyFill="1" applyBorder="1" applyAlignment="1">
      <alignment horizontal="distributed" vertical="center"/>
    </xf>
    <xf numFmtId="0" fontId="12" fillId="4" borderId="46" xfId="0" applyFont="1" applyFill="1" applyBorder="1" applyAlignment="1">
      <alignment/>
    </xf>
    <xf numFmtId="0" fontId="13" fillId="4" borderId="18" xfId="0" applyFont="1" applyFill="1" applyBorder="1" applyAlignment="1" applyProtection="1">
      <alignment horizontal="center" vertical="center" wrapText="1"/>
      <protection/>
    </xf>
    <xf numFmtId="0" fontId="12" fillId="4" borderId="15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0" fontId="16" fillId="0" borderId="164" xfId="0" applyFont="1" applyBorder="1" applyAlignment="1" applyProtection="1">
      <alignment horizontal="center" vertical="center"/>
      <protection/>
    </xf>
    <xf numFmtId="0" fontId="16" fillId="0" borderId="165" xfId="0" applyFont="1" applyBorder="1" applyAlignment="1" applyProtection="1">
      <alignment horizontal="center" vertical="center"/>
      <protection/>
    </xf>
    <xf numFmtId="188" fontId="13" fillId="0" borderId="45" xfId="0" applyNumberFormat="1" applyFont="1" applyBorder="1" applyAlignment="1">
      <alignment horizontal="distributed" vertical="center"/>
    </xf>
    <xf numFmtId="188" fontId="24" fillId="0" borderId="45" xfId="0" applyNumberFormat="1" applyFont="1" applyBorder="1" applyAlignment="1">
      <alignment horizontal="distributed" vertical="center"/>
    </xf>
  </cellXfs>
  <cellStyles count="26">
    <cellStyle name="Normal" xfId="0"/>
    <cellStyle name="name" xfId="15"/>
    <cellStyle name="name_數量計算表1-9 (2)" xfId="16"/>
    <cellStyle name="t1" xfId="17"/>
    <cellStyle name="title" xfId="18"/>
    <cellStyle name="一般_fl" xfId="19"/>
    <cellStyle name="一般_mix" xfId="20"/>
    <cellStyle name="一般_mix(丙表)" xfId="21"/>
    <cellStyle name="一般_Sheet1 (2)" xfId="22"/>
    <cellStyle name="一般_Sheet1 (2)_缺子" xfId="23"/>
    <cellStyle name="一般_Sheet1 (2)_數量計算表1-9 (2)" xfId="24"/>
    <cellStyle name="一般_土方(挖.填)_1" xfId="25"/>
    <cellStyle name="一般_單價" xfId="26"/>
    <cellStyle name="一般_瑞源預算書1" xfId="27"/>
    <cellStyle name="一般_資料輸入" xfId="28"/>
    <cellStyle name="一般_數量計算表1-9 (2)" xfId="29"/>
    <cellStyle name="Comma" xfId="30"/>
    <cellStyle name="Comma [0]" xfId="31"/>
    <cellStyle name="千分位_Sheet1 (2)" xfId="32"/>
    <cellStyle name="Followed Hyperlink" xfId="33"/>
    <cellStyle name="Percent" xfId="34"/>
    <cellStyle name="基本單價" xfId="35"/>
    <cellStyle name="Currency" xfId="36"/>
    <cellStyle name="Currency [0]" xfId="37"/>
    <cellStyle name="貨幣[0]_Sheet1 (2)" xfId="38"/>
    <cellStyle name="Hyperlink" xfId="3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" name="Line 451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2" name="Line 452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" name="Line 453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" name="Line 45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" name="Line 455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161925</xdr:rowOff>
    </xdr:from>
    <xdr:to>
      <xdr:col>28</xdr:col>
      <xdr:colOff>0</xdr:colOff>
      <xdr:row>10</xdr:row>
      <xdr:rowOff>161925</xdr:rowOff>
    </xdr:to>
    <xdr:sp>
      <xdr:nvSpPr>
        <xdr:cNvPr id="6" name="Line 456"/>
        <xdr:cNvSpPr>
          <a:spLocks/>
        </xdr:cNvSpPr>
      </xdr:nvSpPr>
      <xdr:spPr>
        <a:xfrm>
          <a:off x="14011275" y="2219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171450</xdr:rowOff>
    </xdr:from>
    <xdr:to>
      <xdr:col>28</xdr:col>
      <xdr:colOff>0</xdr:colOff>
      <xdr:row>13</xdr:row>
      <xdr:rowOff>171450</xdr:rowOff>
    </xdr:to>
    <xdr:sp>
      <xdr:nvSpPr>
        <xdr:cNvPr id="7" name="Line 457"/>
        <xdr:cNvSpPr>
          <a:spLocks/>
        </xdr:cNvSpPr>
      </xdr:nvSpPr>
      <xdr:spPr>
        <a:xfrm>
          <a:off x="14011275" y="297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171450</xdr:rowOff>
    </xdr:from>
    <xdr:to>
      <xdr:col>28</xdr:col>
      <xdr:colOff>0</xdr:colOff>
      <xdr:row>12</xdr:row>
      <xdr:rowOff>171450</xdr:rowOff>
    </xdr:to>
    <xdr:sp>
      <xdr:nvSpPr>
        <xdr:cNvPr id="8" name="Line 458"/>
        <xdr:cNvSpPr>
          <a:spLocks/>
        </xdr:cNvSpPr>
      </xdr:nvSpPr>
      <xdr:spPr>
        <a:xfrm flipV="1">
          <a:off x="14011275" y="2724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171450</xdr:rowOff>
    </xdr:from>
    <xdr:to>
      <xdr:col>28</xdr:col>
      <xdr:colOff>0</xdr:colOff>
      <xdr:row>14</xdr:row>
      <xdr:rowOff>171450</xdr:rowOff>
    </xdr:to>
    <xdr:sp>
      <xdr:nvSpPr>
        <xdr:cNvPr id="9" name="Line 459"/>
        <xdr:cNvSpPr>
          <a:spLocks/>
        </xdr:cNvSpPr>
      </xdr:nvSpPr>
      <xdr:spPr>
        <a:xfrm>
          <a:off x="14011275" y="32194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10" name="Line 460"/>
        <xdr:cNvSpPr>
          <a:spLocks/>
        </xdr:cNvSpPr>
      </xdr:nvSpPr>
      <xdr:spPr>
        <a:xfrm flipV="1">
          <a:off x="14011275" y="3295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171450</xdr:rowOff>
    </xdr:from>
    <xdr:to>
      <xdr:col>28</xdr:col>
      <xdr:colOff>0</xdr:colOff>
      <xdr:row>18</xdr:row>
      <xdr:rowOff>171450</xdr:rowOff>
    </xdr:to>
    <xdr:sp>
      <xdr:nvSpPr>
        <xdr:cNvPr id="11" name="Line 462"/>
        <xdr:cNvSpPr>
          <a:spLocks/>
        </xdr:cNvSpPr>
      </xdr:nvSpPr>
      <xdr:spPr>
        <a:xfrm flipV="1">
          <a:off x="14011275" y="4210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2" name="Line 463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3" name="Line 46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161925</xdr:rowOff>
    </xdr:from>
    <xdr:to>
      <xdr:col>28</xdr:col>
      <xdr:colOff>0</xdr:colOff>
      <xdr:row>24</xdr:row>
      <xdr:rowOff>161925</xdr:rowOff>
    </xdr:to>
    <xdr:sp>
      <xdr:nvSpPr>
        <xdr:cNvPr id="14" name="Line 465"/>
        <xdr:cNvSpPr>
          <a:spLocks/>
        </xdr:cNvSpPr>
      </xdr:nvSpPr>
      <xdr:spPr>
        <a:xfrm>
          <a:off x="14011275" y="568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5" name="Line 466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6" name="Line 467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7" name="Line 46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171450</xdr:rowOff>
    </xdr:from>
    <xdr:to>
      <xdr:col>28</xdr:col>
      <xdr:colOff>0</xdr:colOff>
      <xdr:row>21</xdr:row>
      <xdr:rowOff>171450</xdr:rowOff>
    </xdr:to>
    <xdr:sp>
      <xdr:nvSpPr>
        <xdr:cNvPr id="18" name="Line 469"/>
        <xdr:cNvSpPr>
          <a:spLocks/>
        </xdr:cNvSpPr>
      </xdr:nvSpPr>
      <xdr:spPr>
        <a:xfrm>
          <a:off x="14011275" y="4953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209550</xdr:rowOff>
    </xdr:from>
    <xdr:to>
      <xdr:col>28</xdr:col>
      <xdr:colOff>0</xdr:colOff>
      <xdr:row>17</xdr:row>
      <xdr:rowOff>209550</xdr:rowOff>
    </xdr:to>
    <xdr:sp>
      <xdr:nvSpPr>
        <xdr:cNvPr id="19" name="Line 470"/>
        <xdr:cNvSpPr>
          <a:spLocks/>
        </xdr:cNvSpPr>
      </xdr:nvSpPr>
      <xdr:spPr>
        <a:xfrm>
          <a:off x="14011275" y="4000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161925</xdr:rowOff>
    </xdr:from>
    <xdr:to>
      <xdr:col>28</xdr:col>
      <xdr:colOff>0</xdr:colOff>
      <xdr:row>15</xdr:row>
      <xdr:rowOff>161925</xdr:rowOff>
    </xdr:to>
    <xdr:sp>
      <xdr:nvSpPr>
        <xdr:cNvPr id="20" name="Line 471"/>
        <xdr:cNvSpPr>
          <a:spLocks/>
        </xdr:cNvSpPr>
      </xdr:nvSpPr>
      <xdr:spPr>
        <a:xfrm>
          <a:off x="14011275" y="3457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21" name="Line 472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22" name="Line 473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23" name="Line 47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24" name="Line 475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180975</xdr:rowOff>
    </xdr:from>
    <xdr:to>
      <xdr:col>28</xdr:col>
      <xdr:colOff>0</xdr:colOff>
      <xdr:row>9</xdr:row>
      <xdr:rowOff>190500</xdr:rowOff>
    </xdr:to>
    <xdr:sp>
      <xdr:nvSpPr>
        <xdr:cNvPr id="25" name="Line 476"/>
        <xdr:cNvSpPr>
          <a:spLocks/>
        </xdr:cNvSpPr>
      </xdr:nvSpPr>
      <xdr:spPr>
        <a:xfrm>
          <a:off x="14011275" y="19907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0</xdr:colOff>
      <xdr:row>19</xdr:row>
      <xdr:rowOff>171450</xdr:rowOff>
    </xdr:to>
    <xdr:sp>
      <xdr:nvSpPr>
        <xdr:cNvPr id="26" name="Line 477"/>
        <xdr:cNvSpPr>
          <a:spLocks/>
        </xdr:cNvSpPr>
      </xdr:nvSpPr>
      <xdr:spPr>
        <a:xfrm>
          <a:off x="14011275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180975</xdr:rowOff>
    </xdr:from>
    <xdr:to>
      <xdr:col>28</xdr:col>
      <xdr:colOff>0</xdr:colOff>
      <xdr:row>20</xdr:row>
      <xdr:rowOff>180975</xdr:rowOff>
    </xdr:to>
    <xdr:sp>
      <xdr:nvSpPr>
        <xdr:cNvPr id="27" name="Line 478"/>
        <xdr:cNvSpPr>
          <a:spLocks/>
        </xdr:cNvSpPr>
      </xdr:nvSpPr>
      <xdr:spPr>
        <a:xfrm>
          <a:off x="14011275" y="4714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161925</xdr:rowOff>
    </xdr:from>
    <xdr:to>
      <xdr:col>28</xdr:col>
      <xdr:colOff>0</xdr:colOff>
      <xdr:row>23</xdr:row>
      <xdr:rowOff>161925</xdr:rowOff>
    </xdr:to>
    <xdr:sp>
      <xdr:nvSpPr>
        <xdr:cNvPr id="28" name="Line 479"/>
        <xdr:cNvSpPr>
          <a:spLocks/>
        </xdr:cNvSpPr>
      </xdr:nvSpPr>
      <xdr:spPr>
        <a:xfrm>
          <a:off x="14011275" y="543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190500</xdr:rowOff>
    </xdr:from>
    <xdr:to>
      <xdr:col>28</xdr:col>
      <xdr:colOff>0</xdr:colOff>
      <xdr:row>24</xdr:row>
      <xdr:rowOff>209550</xdr:rowOff>
    </xdr:to>
    <xdr:sp>
      <xdr:nvSpPr>
        <xdr:cNvPr id="29" name="Line 480"/>
        <xdr:cNvSpPr>
          <a:spLocks/>
        </xdr:cNvSpPr>
      </xdr:nvSpPr>
      <xdr:spPr>
        <a:xfrm>
          <a:off x="14011275" y="5715000"/>
          <a:ext cx="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0" name="Line 481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1" name="Line 482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2" name="Line 483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3" name="Line 48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161925</xdr:rowOff>
    </xdr:from>
    <xdr:to>
      <xdr:col>28</xdr:col>
      <xdr:colOff>0</xdr:colOff>
      <xdr:row>13</xdr:row>
      <xdr:rowOff>161925</xdr:rowOff>
    </xdr:to>
    <xdr:sp>
      <xdr:nvSpPr>
        <xdr:cNvPr id="34" name="Line 485"/>
        <xdr:cNvSpPr>
          <a:spLocks/>
        </xdr:cNvSpPr>
      </xdr:nvSpPr>
      <xdr:spPr>
        <a:xfrm flipV="1">
          <a:off x="14011275" y="29622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5" name="Line 486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6" name="Line 487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7" name="Line 48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8" name="Line 489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39" name="Line 490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0" name="Line 491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1" name="Line 492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2" name="Line 493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3" name="Line 494"/>
        <xdr:cNvSpPr>
          <a:spLocks/>
        </xdr:cNvSpPr>
      </xdr:nvSpPr>
      <xdr:spPr>
        <a:xfrm flipV="1"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171450</xdr:rowOff>
    </xdr:from>
    <xdr:to>
      <xdr:col>28</xdr:col>
      <xdr:colOff>0</xdr:colOff>
      <xdr:row>21</xdr:row>
      <xdr:rowOff>171450</xdr:rowOff>
    </xdr:to>
    <xdr:sp>
      <xdr:nvSpPr>
        <xdr:cNvPr id="44" name="Line 495"/>
        <xdr:cNvSpPr>
          <a:spLocks/>
        </xdr:cNvSpPr>
      </xdr:nvSpPr>
      <xdr:spPr>
        <a:xfrm flipV="1">
          <a:off x="14011275" y="4953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5" name="Line 496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6" name="Line 497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7" name="Line 49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8" name="Line 499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49" name="Line 500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0" name="Line 501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1" name="Line 502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2" name="Line 503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3" name="Line 50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4" name="Line 505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5" name="Line 506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6" name="Line 507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7" name="Line 50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58" name="Line 509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171450</xdr:rowOff>
    </xdr:from>
    <xdr:to>
      <xdr:col>28</xdr:col>
      <xdr:colOff>0</xdr:colOff>
      <xdr:row>21</xdr:row>
      <xdr:rowOff>171450</xdr:rowOff>
    </xdr:to>
    <xdr:sp>
      <xdr:nvSpPr>
        <xdr:cNvPr id="59" name="Line 510"/>
        <xdr:cNvSpPr>
          <a:spLocks/>
        </xdr:cNvSpPr>
      </xdr:nvSpPr>
      <xdr:spPr>
        <a:xfrm>
          <a:off x="14011275" y="4953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0</xdr:colOff>
      <xdr:row>19</xdr:row>
      <xdr:rowOff>171450</xdr:rowOff>
    </xdr:to>
    <xdr:sp>
      <xdr:nvSpPr>
        <xdr:cNvPr id="60" name="Line 511"/>
        <xdr:cNvSpPr>
          <a:spLocks/>
        </xdr:cNvSpPr>
      </xdr:nvSpPr>
      <xdr:spPr>
        <a:xfrm>
          <a:off x="14011275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61" name="Line 512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62" name="Line 513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161925</xdr:rowOff>
    </xdr:from>
    <xdr:to>
      <xdr:col>28</xdr:col>
      <xdr:colOff>0</xdr:colOff>
      <xdr:row>10</xdr:row>
      <xdr:rowOff>161925</xdr:rowOff>
    </xdr:to>
    <xdr:sp>
      <xdr:nvSpPr>
        <xdr:cNvPr id="63" name="Line 514"/>
        <xdr:cNvSpPr>
          <a:spLocks/>
        </xdr:cNvSpPr>
      </xdr:nvSpPr>
      <xdr:spPr>
        <a:xfrm>
          <a:off x="14011275" y="2219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171450</xdr:rowOff>
    </xdr:from>
    <xdr:to>
      <xdr:col>28</xdr:col>
      <xdr:colOff>0</xdr:colOff>
      <xdr:row>13</xdr:row>
      <xdr:rowOff>171450</xdr:rowOff>
    </xdr:to>
    <xdr:sp>
      <xdr:nvSpPr>
        <xdr:cNvPr id="64" name="Line 515"/>
        <xdr:cNvSpPr>
          <a:spLocks/>
        </xdr:cNvSpPr>
      </xdr:nvSpPr>
      <xdr:spPr>
        <a:xfrm>
          <a:off x="14011275" y="297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65" name="Line 516"/>
        <xdr:cNvSpPr>
          <a:spLocks/>
        </xdr:cNvSpPr>
      </xdr:nvSpPr>
      <xdr:spPr>
        <a:xfrm flipV="1">
          <a:off x="14011275" y="3295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171450</xdr:rowOff>
    </xdr:from>
    <xdr:to>
      <xdr:col>28</xdr:col>
      <xdr:colOff>0</xdr:colOff>
      <xdr:row>18</xdr:row>
      <xdr:rowOff>171450</xdr:rowOff>
    </xdr:to>
    <xdr:sp>
      <xdr:nvSpPr>
        <xdr:cNvPr id="66" name="Line 517"/>
        <xdr:cNvSpPr>
          <a:spLocks/>
        </xdr:cNvSpPr>
      </xdr:nvSpPr>
      <xdr:spPr>
        <a:xfrm flipV="1">
          <a:off x="14011275" y="4210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161925</xdr:rowOff>
    </xdr:from>
    <xdr:to>
      <xdr:col>28</xdr:col>
      <xdr:colOff>0</xdr:colOff>
      <xdr:row>24</xdr:row>
      <xdr:rowOff>161925</xdr:rowOff>
    </xdr:to>
    <xdr:sp>
      <xdr:nvSpPr>
        <xdr:cNvPr id="67" name="Line 518"/>
        <xdr:cNvSpPr>
          <a:spLocks/>
        </xdr:cNvSpPr>
      </xdr:nvSpPr>
      <xdr:spPr>
        <a:xfrm>
          <a:off x="14011275" y="568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68" name="Line 519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69" name="Line 520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171450</xdr:rowOff>
    </xdr:from>
    <xdr:to>
      <xdr:col>28</xdr:col>
      <xdr:colOff>0</xdr:colOff>
      <xdr:row>21</xdr:row>
      <xdr:rowOff>171450</xdr:rowOff>
    </xdr:to>
    <xdr:sp>
      <xdr:nvSpPr>
        <xdr:cNvPr id="70" name="Line 521"/>
        <xdr:cNvSpPr>
          <a:spLocks/>
        </xdr:cNvSpPr>
      </xdr:nvSpPr>
      <xdr:spPr>
        <a:xfrm>
          <a:off x="14011275" y="4953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209550</xdr:rowOff>
    </xdr:from>
    <xdr:to>
      <xdr:col>28</xdr:col>
      <xdr:colOff>0</xdr:colOff>
      <xdr:row>17</xdr:row>
      <xdr:rowOff>209550</xdr:rowOff>
    </xdr:to>
    <xdr:sp>
      <xdr:nvSpPr>
        <xdr:cNvPr id="71" name="Line 522"/>
        <xdr:cNvSpPr>
          <a:spLocks/>
        </xdr:cNvSpPr>
      </xdr:nvSpPr>
      <xdr:spPr>
        <a:xfrm>
          <a:off x="14011275" y="4000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161925</xdr:rowOff>
    </xdr:from>
    <xdr:to>
      <xdr:col>28</xdr:col>
      <xdr:colOff>0</xdr:colOff>
      <xdr:row>15</xdr:row>
      <xdr:rowOff>161925</xdr:rowOff>
    </xdr:to>
    <xdr:sp>
      <xdr:nvSpPr>
        <xdr:cNvPr id="72" name="Line 523"/>
        <xdr:cNvSpPr>
          <a:spLocks/>
        </xdr:cNvSpPr>
      </xdr:nvSpPr>
      <xdr:spPr>
        <a:xfrm>
          <a:off x="14011275" y="3457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73" name="Line 524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74" name="Line 525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75" name="Line 526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76" name="Line 527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0</xdr:colOff>
      <xdr:row>19</xdr:row>
      <xdr:rowOff>171450</xdr:rowOff>
    </xdr:to>
    <xdr:sp>
      <xdr:nvSpPr>
        <xdr:cNvPr id="77" name="Line 528"/>
        <xdr:cNvSpPr>
          <a:spLocks/>
        </xdr:cNvSpPr>
      </xdr:nvSpPr>
      <xdr:spPr>
        <a:xfrm>
          <a:off x="14011275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180975</xdr:rowOff>
    </xdr:from>
    <xdr:to>
      <xdr:col>28</xdr:col>
      <xdr:colOff>0</xdr:colOff>
      <xdr:row>20</xdr:row>
      <xdr:rowOff>180975</xdr:rowOff>
    </xdr:to>
    <xdr:sp>
      <xdr:nvSpPr>
        <xdr:cNvPr id="78" name="Line 529"/>
        <xdr:cNvSpPr>
          <a:spLocks/>
        </xdr:cNvSpPr>
      </xdr:nvSpPr>
      <xdr:spPr>
        <a:xfrm>
          <a:off x="14011275" y="4714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171450</xdr:rowOff>
    </xdr:from>
    <xdr:to>
      <xdr:col>28</xdr:col>
      <xdr:colOff>0</xdr:colOff>
      <xdr:row>21</xdr:row>
      <xdr:rowOff>171450</xdr:rowOff>
    </xdr:to>
    <xdr:sp>
      <xdr:nvSpPr>
        <xdr:cNvPr id="79" name="Line 530"/>
        <xdr:cNvSpPr>
          <a:spLocks/>
        </xdr:cNvSpPr>
      </xdr:nvSpPr>
      <xdr:spPr>
        <a:xfrm>
          <a:off x="14011275" y="4953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0</xdr:colOff>
      <xdr:row>19</xdr:row>
      <xdr:rowOff>171450</xdr:rowOff>
    </xdr:to>
    <xdr:sp>
      <xdr:nvSpPr>
        <xdr:cNvPr id="80" name="Line 531"/>
        <xdr:cNvSpPr>
          <a:spLocks/>
        </xdr:cNvSpPr>
      </xdr:nvSpPr>
      <xdr:spPr>
        <a:xfrm>
          <a:off x="14011275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161925</xdr:rowOff>
    </xdr:from>
    <xdr:to>
      <xdr:col>28</xdr:col>
      <xdr:colOff>0</xdr:colOff>
      <xdr:row>10</xdr:row>
      <xdr:rowOff>161925</xdr:rowOff>
    </xdr:to>
    <xdr:sp>
      <xdr:nvSpPr>
        <xdr:cNvPr id="81" name="Line 532"/>
        <xdr:cNvSpPr>
          <a:spLocks/>
        </xdr:cNvSpPr>
      </xdr:nvSpPr>
      <xdr:spPr>
        <a:xfrm>
          <a:off x="14011275" y="2219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82" name="Line 533"/>
        <xdr:cNvSpPr>
          <a:spLocks/>
        </xdr:cNvSpPr>
      </xdr:nvSpPr>
      <xdr:spPr>
        <a:xfrm flipV="1">
          <a:off x="14011275" y="3295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171450</xdr:rowOff>
    </xdr:from>
    <xdr:to>
      <xdr:col>28</xdr:col>
      <xdr:colOff>0</xdr:colOff>
      <xdr:row>18</xdr:row>
      <xdr:rowOff>171450</xdr:rowOff>
    </xdr:to>
    <xdr:sp>
      <xdr:nvSpPr>
        <xdr:cNvPr id="83" name="Line 534"/>
        <xdr:cNvSpPr>
          <a:spLocks/>
        </xdr:cNvSpPr>
      </xdr:nvSpPr>
      <xdr:spPr>
        <a:xfrm flipV="1">
          <a:off x="14011275" y="4210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84" name="Line 535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209550</xdr:rowOff>
    </xdr:from>
    <xdr:to>
      <xdr:col>28</xdr:col>
      <xdr:colOff>0</xdr:colOff>
      <xdr:row>17</xdr:row>
      <xdr:rowOff>209550</xdr:rowOff>
    </xdr:to>
    <xdr:sp>
      <xdr:nvSpPr>
        <xdr:cNvPr id="85" name="Line 536"/>
        <xdr:cNvSpPr>
          <a:spLocks/>
        </xdr:cNvSpPr>
      </xdr:nvSpPr>
      <xdr:spPr>
        <a:xfrm>
          <a:off x="14011275" y="4000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161925</xdr:rowOff>
    </xdr:from>
    <xdr:to>
      <xdr:col>28</xdr:col>
      <xdr:colOff>0</xdr:colOff>
      <xdr:row>15</xdr:row>
      <xdr:rowOff>161925</xdr:rowOff>
    </xdr:to>
    <xdr:sp>
      <xdr:nvSpPr>
        <xdr:cNvPr id="86" name="Line 537"/>
        <xdr:cNvSpPr>
          <a:spLocks/>
        </xdr:cNvSpPr>
      </xdr:nvSpPr>
      <xdr:spPr>
        <a:xfrm>
          <a:off x="14011275" y="3457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87" name="Line 53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0</xdr:colOff>
      <xdr:row>19</xdr:row>
      <xdr:rowOff>171450</xdr:rowOff>
    </xdr:to>
    <xdr:sp>
      <xdr:nvSpPr>
        <xdr:cNvPr id="88" name="Line 539"/>
        <xdr:cNvSpPr>
          <a:spLocks/>
        </xdr:cNvSpPr>
      </xdr:nvSpPr>
      <xdr:spPr>
        <a:xfrm>
          <a:off x="14011275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180975</xdr:rowOff>
    </xdr:from>
    <xdr:to>
      <xdr:col>28</xdr:col>
      <xdr:colOff>0</xdr:colOff>
      <xdr:row>20</xdr:row>
      <xdr:rowOff>180975</xdr:rowOff>
    </xdr:to>
    <xdr:sp>
      <xdr:nvSpPr>
        <xdr:cNvPr id="89" name="Line 540"/>
        <xdr:cNvSpPr>
          <a:spLocks/>
        </xdr:cNvSpPr>
      </xdr:nvSpPr>
      <xdr:spPr>
        <a:xfrm>
          <a:off x="14011275" y="4714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171450</xdr:rowOff>
    </xdr:from>
    <xdr:to>
      <xdr:col>13</xdr:col>
      <xdr:colOff>0</xdr:colOff>
      <xdr:row>13</xdr:row>
      <xdr:rowOff>171450</xdr:rowOff>
    </xdr:to>
    <xdr:sp>
      <xdr:nvSpPr>
        <xdr:cNvPr id="90" name="Line 541"/>
        <xdr:cNvSpPr>
          <a:spLocks/>
        </xdr:cNvSpPr>
      </xdr:nvSpPr>
      <xdr:spPr>
        <a:xfrm>
          <a:off x="6381750" y="297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171450</xdr:rowOff>
    </xdr:from>
    <xdr:to>
      <xdr:col>13</xdr:col>
      <xdr:colOff>0</xdr:colOff>
      <xdr:row>13</xdr:row>
      <xdr:rowOff>171450</xdr:rowOff>
    </xdr:to>
    <xdr:sp>
      <xdr:nvSpPr>
        <xdr:cNvPr id="91" name="Line 542"/>
        <xdr:cNvSpPr>
          <a:spLocks/>
        </xdr:cNvSpPr>
      </xdr:nvSpPr>
      <xdr:spPr>
        <a:xfrm>
          <a:off x="6381750" y="297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92" name="Line 543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93" name="Line 544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4" name="Line 545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5" name="Line 546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6" name="Line 547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97" name="Line 54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8" name="Line 549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9" name="Line 550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0" name="Line 551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1" name="Line 552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2" name="Line 553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3" name="Line 554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4" name="Line 555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5" name="Line 556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06" name="Line 557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25</xdr:row>
      <xdr:rowOff>0</xdr:rowOff>
    </xdr:to>
    <xdr:sp>
      <xdr:nvSpPr>
        <xdr:cNvPr id="107" name="Line 558"/>
        <xdr:cNvSpPr>
          <a:spLocks/>
        </xdr:cNvSpPr>
      </xdr:nvSpPr>
      <xdr:spPr>
        <a:xfrm>
          <a:off x="1401127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8" name="Line 559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9" name="Line 560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142875</xdr:rowOff>
    </xdr:from>
    <xdr:to>
      <xdr:col>13</xdr:col>
      <xdr:colOff>0</xdr:colOff>
      <xdr:row>22</xdr:row>
      <xdr:rowOff>142875</xdr:rowOff>
    </xdr:to>
    <xdr:sp>
      <xdr:nvSpPr>
        <xdr:cNvPr id="110" name="Line 561"/>
        <xdr:cNvSpPr>
          <a:spLocks/>
        </xdr:cNvSpPr>
      </xdr:nvSpPr>
      <xdr:spPr>
        <a:xfrm>
          <a:off x="6381750" y="5172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1" name="Line 562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2" name="Line 563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3" name="Line 564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4" name="Line 565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5" name="Line 566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6" name="Line 567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7" name="Line 568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8" name="Line 569"/>
        <xdr:cNvSpPr>
          <a:spLocks/>
        </xdr:cNvSpPr>
      </xdr:nvSpPr>
      <xdr:spPr>
        <a:xfrm flipV="1"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9525</xdr:colOff>
      <xdr:row>25</xdr:row>
      <xdr:rowOff>0</xdr:rowOff>
    </xdr:to>
    <xdr:sp>
      <xdr:nvSpPr>
        <xdr:cNvPr id="119" name="Line 570"/>
        <xdr:cNvSpPr>
          <a:spLocks/>
        </xdr:cNvSpPr>
      </xdr:nvSpPr>
      <xdr:spPr>
        <a:xfrm>
          <a:off x="12915900" y="5772150"/>
          <a:ext cx="9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20" name="Line 571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21" name="Line 572"/>
        <xdr:cNvSpPr>
          <a:spLocks/>
        </xdr:cNvSpPr>
      </xdr:nvSpPr>
      <xdr:spPr>
        <a:xfrm>
          <a:off x="6381750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123825</xdr:rowOff>
    </xdr:from>
    <xdr:to>
      <xdr:col>24</xdr:col>
      <xdr:colOff>9525</xdr:colOff>
      <xdr:row>9</xdr:row>
      <xdr:rowOff>142875</xdr:rowOff>
    </xdr:to>
    <xdr:sp>
      <xdr:nvSpPr>
        <xdr:cNvPr id="122" name="Line 573"/>
        <xdr:cNvSpPr>
          <a:spLocks/>
        </xdr:cNvSpPr>
      </xdr:nvSpPr>
      <xdr:spPr>
        <a:xfrm flipV="1">
          <a:off x="3590925" y="1933575"/>
          <a:ext cx="7934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95250</xdr:rowOff>
    </xdr:from>
    <xdr:to>
      <xdr:col>13</xdr:col>
      <xdr:colOff>0</xdr:colOff>
      <xdr:row>15</xdr:row>
      <xdr:rowOff>104775</xdr:rowOff>
    </xdr:to>
    <xdr:sp>
      <xdr:nvSpPr>
        <xdr:cNvPr id="123" name="Line 576"/>
        <xdr:cNvSpPr>
          <a:spLocks/>
        </xdr:cNvSpPr>
      </xdr:nvSpPr>
      <xdr:spPr>
        <a:xfrm>
          <a:off x="6381750" y="33909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466725</xdr:colOff>
      <xdr:row>29</xdr:row>
      <xdr:rowOff>0</xdr:rowOff>
    </xdr:from>
    <xdr:to>
      <xdr:col>20</xdr:col>
      <xdr:colOff>466725</xdr:colOff>
      <xdr:row>29</xdr:row>
      <xdr:rowOff>0</xdr:rowOff>
    </xdr:to>
    <xdr:sp>
      <xdr:nvSpPr>
        <xdr:cNvPr id="124" name="Line 581"/>
        <xdr:cNvSpPr>
          <a:spLocks/>
        </xdr:cNvSpPr>
      </xdr:nvSpPr>
      <xdr:spPr>
        <a:xfrm>
          <a:off x="101155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104775</xdr:rowOff>
    </xdr:from>
    <xdr:to>
      <xdr:col>13</xdr:col>
      <xdr:colOff>0</xdr:colOff>
      <xdr:row>12</xdr:row>
      <xdr:rowOff>104775</xdr:rowOff>
    </xdr:to>
    <xdr:sp>
      <xdr:nvSpPr>
        <xdr:cNvPr id="125" name="Line 590"/>
        <xdr:cNvSpPr>
          <a:spLocks/>
        </xdr:cNvSpPr>
      </xdr:nvSpPr>
      <xdr:spPr>
        <a:xfrm flipV="1">
          <a:off x="6381750" y="26574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76200</xdr:rowOff>
    </xdr:from>
    <xdr:to>
      <xdr:col>13</xdr:col>
      <xdr:colOff>0</xdr:colOff>
      <xdr:row>16</xdr:row>
      <xdr:rowOff>85725</xdr:rowOff>
    </xdr:to>
    <xdr:sp>
      <xdr:nvSpPr>
        <xdr:cNvPr id="126" name="Line 592"/>
        <xdr:cNvSpPr>
          <a:spLocks/>
        </xdr:cNvSpPr>
      </xdr:nvSpPr>
      <xdr:spPr>
        <a:xfrm>
          <a:off x="6381750" y="36195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27" name="Line 60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28" name="Line 60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29" name="Line 60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0" name="Line 60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1" name="Line 60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2" name="Line 60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3" name="Line 60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4" name="Line 608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5" name="Line 60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6" name="Line 610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7" name="Line 61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8" name="Line 612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39" name="Line 61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0" name="Line 61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1" name="Line 61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2" name="Line 61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3" name="Line 617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4" name="Line 61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5" name="Line 61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6" name="Line 62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7" name="Line 62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8" name="Line 62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49" name="Line 62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0" name="Line 62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1" name="Line 62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2" name="Line 62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3" name="Line 62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4" name="Line 62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5" name="Line 62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6" name="Line 63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7" name="Line 63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8" name="Line 63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59" name="Line 633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0" name="Line 63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1" name="Line 635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2" name="Line 63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3" name="Line 63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4" name="Line 63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5" name="Line 63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6" name="Line 64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7" name="Line 641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8" name="Line 642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69" name="Line 643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0" name="Line 644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1" name="Line 645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2" name="Line 64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3" name="Line 64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4" name="Line 64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5" name="Line 64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6" name="Line 65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7" name="Line 65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8" name="Line 65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79" name="Line 65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0" name="Line 65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1" name="Line 65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2" name="Line 65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3" name="Line 65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4" name="Line 65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5" name="Line 65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6" name="Line 66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7" name="Line 66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8" name="Line 66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89" name="Line 66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0" name="Line 66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1" name="Line 66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2" name="Line 666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3" name="Line 667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4" name="Line 66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5" name="Line 66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6" name="Line 67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7" name="Line 67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8" name="Line 67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199" name="Line 673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0" name="Line 674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1" name="Line 67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2" name="Line 67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3" name="Line 67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4" name="Line 67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5" name="Line 67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6" name="Line 68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7" name="Line 681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8" name="Line 682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09" name="Line 683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0" name="Line 684"/>
        <xdr:cNvSpPr>
          <a:spLocks/>
        </xdr:cNvSpPr>
      </xdr:nvSpPr>
      <xdr:spPr>
        <a:xfrm flipV="1"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1" name="Line 685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2" name="Line 686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3" name="Line 68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4" name="Line 68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5" name="Line 689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16" name="Line 690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17" name="Line 691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18" name="Line 692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19" name="Line 693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0" name="Line 694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1" name="Line 695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2" name="Line 696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3" name="Line 697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24" name="Line 69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5" name="Line 699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6" name="Line 700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7" name="Line 701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8" name="Line 702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29" name="Line 703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0" name="Line 704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1" name="Line 705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2" name="Line 706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33" name="Line 707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>
      <xdr:nvSpPr>
        <xdr:cNvPr id="234" name="Line 708"/>
        <xdr:cNvSpPr>
          <a:spLocks/>
        </xdr:cNvSpPr>
      </xdr:nvSpPr>
      <xdr:spPr>
        <a:xfrm>
          <a:off x="140112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5" name="Line 709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6" name="Line 710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7" name="Line 711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8" name="Line 712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39" name="Line 713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0" name="Line 714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1" name="Line 715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2" name="Line 716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3" name="Line 717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4" name="Line 718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5" name="Line 719"/>
        <xdr:cNvSpPr>
          <a:spLocks/>
        </xdr:cNvSpPr>
      </xdr:nvSpPr>
      <xdr:spPr>
        <a:xfrm flipV="1"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9525</xdr:colOff>
      <xdr:row>29</xdr:row>
      <xdr:rowOff>0</xdr:rowOff>
    </xdr:to>
    <xdr:sp>
      <xdr:nvSpPr>
        <xdr:cNvPr id="246" name="Line 720"/>
        <xdr:cNvSpPr>
          <a:spLocks/>
        </xdr:cNvSpPr>
      </xdr:nvSpPr>
      <xdr:spPr>
        <a:xfrm>
          <a:off x="12915900" y="6762750"/>
          <a:ext cx="9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7" name="Line 721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48" name="Line 722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9525</xdr:colOff>
      <xdr:row>29</xdr:row>
      <xdr:rowOff>0</xdr:rowOff>
    </xdr:to>
    <xdr:sp>
      <xdr:nvSpPr>
        <xdr:cNvPr id="249" name="Line 731"/>
        <xdr:cNvSpPr>
          <a:spLocks/>
        </xdr:cNvSpPr>
      </xdr:nvSpPr>
      <xdr:spPr>
        <a:xfrm>
          <a:off x="12915900" y="6762750"/>
          <a:ext cx="9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250" name="Line 770"/>
        <xdr:cNvSpPr>
          <a:spLocks/>
        </xdr:cNvSpPr>
      </xdr:nvSpPr>
      <xdr:spPr>
        <a:xfrm>
          <a:off x="6381750" y="321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251" name="Line 771"/>
        <xdr:cNvSpPr>
          <a:spLocks/>
        </xdr:cNvSpPr>
      </xdr:nvSpPr>
      <xdr:spPr>
        <a:xfrm>
          <a:off x="6381750" y="3219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123825</xdr:rowOff>
    </xdr:from>
    <xdr:to>
      <xdr:col>13</xdr:col>
      <xdr:colOff>0</xdr:colOff>
      <xdr:row>21</xdr:row>
      <xdr:rowOff>133350</xdr:rowOff>
    </xdr:to>
    <xdr:sp>
      <xdr:nvSpPr>
        <xdr:cNvPr id="252" name="Line 775"/>
        <xdr:cNvSpPr>
          <a:spLocks/>
        </xdr:cNvSpPr>
      </xdr:nvSpPr>
      <xdr:spPr>
        <a:xfrm flipV="1">
          <a:off x="6381750" y="49053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142875</xdr:rowOff>
    </xdr:from>
    <xdr:to>
      <xdr:col>13</xdr:col>
      <xdr:colOff>0</xdr:colOff>
      <xdr:row>23</xdr:row>
      <xdr:rowOff>142875</xdr:rowOff>
    </xdr:to>
    <xdr:sp>
      <xdr:nvSpPr>
        <xdr:cNvPr id="253" name="Line 776"/>
        <xdr:cNvSpPr>
          <a:spLocks/>
        </xdr:cNvSpPr>
      </xdr:nvSpPr>
      <xdr:spPr>
        <a:xfrm>
          <a:off x="6381750" y="541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142875</xdr:rowOff>
    </xdr:from>
    <xdr:to>
      <xdr:col>13</xdr:col>
      <xdr:colOff>0</xdr:colOff>
      <xdr:row>24</xdr:row>
      <xdr:rowOff>142875</xdr:rowOff>
    </xdr:to>
    <xdr:sp>
      <xdr:nvSpPr>
        <xdr:cNvPr id="254" name="Line 778"/>
        <xdr:cNvSpPr>
          <a:spLocks/>
        </xdr:cNvSpPr>
      </xdr:nvSpPr>
      <xdr:spPr>
        <a:xfrm>
          <a:off x="6381750" y="56673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142875</xdr:rowOff>
    </xdr:from>
    <xdr:to>
      <xdr:col>13</xdr:col>
      <xdr:colOff>0</xdr:colOff>
      <xdr:row>25</xdr:row>
      <xdr:rowOff>142875</xdr:rowOff>
    </xdr:to>
    <xdr:sp>
      <xdr:nvSpPr>
        <xdr:cNvPr id="255" name="Line 780"/>
        <xdr:cNvSpPr>
          <a:spLocks/>
        </xdr:cNvSpPr>
      </xdr:nvSpPr>
      <xdr:spPr>
        <a:xfrm>
          <a:off x="6381750" y="5915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142875</xdr:rowOff>
    </xdr:from>
    <xdr:to>
      <xdr:col>13</xdr:col>
      <xdr:colOff>0</xdr:colOff>
      <xdr:row>26</xdr:row>
      <xdr:rowOff>142875</xdr:rowOff>
    </xdr:to>
    <xdr:sp>
      <xdr:nvSpPr>
        <xdr:cNvPr id="256" name="Line 782"/>
        <xdr:cNvSpPr>
          <a:spLocks/>
        </xdr:cNvSpPr>
      </xdr:nvSpPr>
      <xdr:spPr>
        <a:xfrm>
          <a:off x="6381750" y="616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257" name="Line 784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114300</xdr:rowOff>
    </xdr:from>
    <xdr:to>
      <xdr:col>21</xdr:col>
      <xdr:colOff>447675</xdr:colOff>
      <xdr:row>33</xdr:row>
      <xdr:rowOff>123825</xdr:rowOff>
    </xdr:to>
    <xdr:sp>
      <xdr:nvSpPr>
        <xdr:cNvPr id="258" name="Line 803"/>
        <xdr:cNvSpPr>
          <a:spLocks/>
        </xdr:cNvSpPr>
      </xdr:nvSpPr>
      <xdr:spPr>
        <a:xfrm>
          <a:off x="4524375" y="7867650"/>
          <a:ext cx="60388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457200</xdr:colOff>
      <xdr:row>31</xdr:row>
      <xdr:rowOff>123825</xdr:rowOff>
    </xdr:from>
    <xdr:to>
      <xdr:col>23</xdr:col>
      <xdr:colOff>438150</xdr:colOff>
      <xdr:row>31</xdr:row>
      <xdr:rowOff>123825</xdr:rowOff>
    </xdr:to>
    <xdr:sp>
      <xdr:nvSpPr>
        <xdr:cNvPr id="259" name="Line 806"/>
        <xdr:cNvSpPr>
          <a:spLocks/>
        </xdr:cNvSpPr>
      </xdr:nvSpPr>
      <xdr:spPr>
        <a:xfrm>
          <a:off x="4505325" y="7381875"/>
          <a:ext cx="6981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123825</xdr:rowOff>
    </xdr:from>
    <xdr:to>
      <xdr:col>22</xdr:col>
      <xdr:colOff>457200</xdr:colOff>
      <xdr:row>30</xdr:row>
      <xdr:rowOff>142875</xdr:rowOff>
    </xdr:to>
    <xdr:sp>
      <xdr:nvSpPr>
        <xdr:cNvPr id="260" name="Line 835"/>
        <xdr:cNvSpPr>
          <a:spLocks/>
        </xdr:cNvSpPr>
      </xdr:nvSpPr>
      <xdr:spPr>
        <a:xfrm flipV="1">
          <a:off x="5915025" y="7134225"/>
          <a:ext cx="51244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95250</xdr:rowOff>
    </xdr:from>
    <xdr:to>
      <xdr:col>24</xdr:col>
      <xdr:colOff>38100</xdr:colOff>
      <xdr:row>14</xdr:row>
      <xdr:rowOff>123825</xdr:rowOff>
    </xdr:to>
    <xdr:sp>
      <xdr:nvSpPr>
        <xdr:cNvPr id="261" name="Line 855"/>
        <xdr:cNvSpPr>
          <a:spLocks/>
        </xdr:cNvSpPr>
      </xdr:nvSpPr>
      <xdr:spPr>
        <a:xfrm flipV="1">
          <a:off x="4524375" y="3143250"/>
          <a:ext cx="7029450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142875</xdr:rowOff>
    </xdr:from>
    <xdr:to>
      <xdr:col>14</xdr:col>
      <xdr:colOff>0</xdr:colOff>
      <xdr:row>26</xdr:row>
      <xdr:rowOff>142875</xdr:rowOff>
    </xdr:to>
    <xdr:sp>
      <xdr:nvSpPr>
        <xdr:cNvPr id="262" name="Line 863"/>
        <xdr:cNvSpPr>
          <a:spLocks/>
        </xdr:cNvSpPr>
      </xdr:nvSpPr>
      <xdr:spPr>
        <a:xfrm>
          <a:off x="6848475" y="616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142875</xdr:rowOff>
    </xdr:from>
    <xdr:to>
      <xdr:col>14</xdr:col>
      <xdr:colOff>0</xdr:colOff>
      <xdr:row>27</xdr:row>
      <xdr:rowOff>142875</xdr:rowOff>
    </xdr:to>
    <xdr:sp>
      <xdr:nvSpPr>
        <xdr:cNvPr id="263" name="Line 865"/>
        <xdr:cNvSpPr>
          <a:spLocks/>
        </xdr:cNvSpPr>
      </xdr:nvSpPr>
      <xdr:spPr>
        <a:xfrm>
          <a:off x="6848475" y="6410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142875</xdr:rowOff>
    </xdr:from>
    <xdr:to>
      <xdr:col>14</xdr:col>
      <xdr:colOff>0</xdr:colOff>
      <xdr:row>28</xdr:row>
      <xdr:rowOff>142875</xdr:rowOff>
    </xdr:to>
    <xdr:sp>
      <xdr:nvSpPr>
        <xdr:cNvPr id="264" name="Line 868"/>
        <xdr:cNvSpPr>
          <a:spLocks/>
        </xdr:cNvSpPr>
      </xdr:nvSpPr>
      <xdr:spPr>
        <a:xfrm>
          <a:off x="6848475" y="6657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65" name="Line 871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66" name="Line 879"/>
        <xdr:cNvSpPr>
          <a:spLocks/>
        </xdr:cNvSpPr>
      </xdr:nvSpPr>
      <xdr:spPr>
        <a:xfrm>
          <a:off x="63817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457200</xdr:colOff>
      <xdr:row>32</xdr:row>
      <xdr:rowOff>133350</xdr:rowOff>
    </xdr:from>
    <xdr:to>
      <xdr:col>23</xdr:col>
      <xdr:colOff>0</xdr:colOff>
      <xdr:row>32</xdr:row>
      <xdr:rowOff>142875</xdr:rowOff>
    </xdr:to>
    <xdr:sp>
      <xdr:nvSpPr>
        <xdr:cNvPr id="267" name="Line 883"/>
        <xdr:cNvSpPr>
          <a:spLocks/>
        </xdr:cNvSpPr>
      </xdr:nvSpPr>
      <xdr:spPr>
        <a:xfrm>
          <a:off x="5438775" y="7639050"/>
          <a:ext cx="56102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68" name="Line 887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69" name="Line 888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70" name="Line 894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71" name="Line 895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72" name="Line 897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73" name="Line 898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274" name="Line 904"/>
        <xdr:cNvSpPr>
          <a:spLocks/>
        </xdr:cNvSpPr>
      </xdr:nvSpPr>
      <xdr:spPr>
        <a:xfrm>
          <a:off x="731520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466725</xdr:colOff>
      <xdr:row>29</xdr:row>
      <xdr:rowOff>0</xdr:rowOff>
    </xdr:from>
    <xdr:to>
      <xdr:col>15</xdr:col>
      <xdr:colOff>466725</xdr:colOff>
      <xdr:row>29</xdr:row>
      <xdr:rowOff>0</xdr:rowOff>
    </xdr:to>
    <xdr:sp>
      <xdr:nvSpPr>
        <xdr:cNvPr id="275" name="Line 905"/>
        <xdr:cNvSpPr>
          <a:spLocks/>
        </xdr:cNvSpPr>
      </xdr:nvSpPr>
      <xdr:spPr>
        <a:xfrm>
          <a:off x="778192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29</xdr:row>
      <xdr:rowOff>0</xdr:rowOff>
    </xdr:from>
    <xdr:to>
      <xdr:col>16</xdr:col>
      <xdr:colOff>466725</xdr:colOff>
      <xdr:row>29</xdr:row>
      <xdr:rowOff>0</xdr:rowOff>
    </xdr:to>
    <xdr:sp>
      <xdr:nvSpPr>
        <xdr:cNvPr id="276" name="Line 906"/>
        <xdr:cNvSpPr>
          <a:spLocks/>
        </xdr:cNvSpPr>
      </xdr:nvSpPr>
      <xdr:spPr>
        <a:xfrm>
          <a:off x="824865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466725</xdr:colOff>
      <xdr:row>29</xdr:row>
      <xdr:rowOff>0</xdr:rowOff>
    </xdr:from>
    <xdr:to>
      <xdr:col>17</xdr:col>
      <xdr:colOff>466725</xdr:colOff>
      <xdr:row>29</xdr:row>
      <xdr:rowOff>0</xdr:rowOff>
    </xdr:to>
    <xdr:sp>
      <xdr:nvSpPr>
        <xdr:cNvPr id="277" name="Line 907"/>
        <xdr:cNvSpPr>
          <a:spLocks/>
        </xdr:cNvSpPr>
      </xdr:nvSpPr>
      <xdr:spPr>
        <a:xfrm>
          <a:off x="871537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466725</xdr:colOff>
      <xdr:row>29</xdr:row>
      <xdr:rowOff>0</xdr:rowOff>
    </xdr:from>
    <xdr:to>
      <xdr:col>18</xdr:col>
      <xdr:colOff>466725</xdr:colOff>
      <xdr:row>29</xdr:row>
      <xdr:rowOff>0</xdr:rowOff>
    </xdr:to>
    <xdr:sp>
      <xdr:nvSpPr>
        <xdr:cNvPr id="278" name="Line 908"/>
        <xdr:cNvSpPr>
          <a:spLocks/>
        </xdr:cNvSpPr>
      </xdr:nvSpPr>
      <xdr:spPr>
        <a:xfrm>
          <a:off x="9182100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466725</xdr:colOff>
      <xdr:row>29</xdr:row>
      <xdr:rowOff>0</xdr:rowOff>
    </xdr:from>
    <xdr:to>
      <xdr:col>19</xdr:col>
      <xdr:colOff>466725</xdr:colOff>
      <xdr:row>29</xdr:row>
      <xdr:rowOff>0</xdr:rowOff>
    </xdr:to>
    <xdr:sp>
      <xdr:nvSpPr>
        <xdr:cNvPr id="279" name="Line 909"/>
        <xdr:cNvSpPr>
          <a:spLocks/>
        </xdr:cNvSpPr>
      </xdr:nvSpPr>
      <xdr:spPr>
        <a:xfrm>
          <a:off x="9648825" y="6762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80" name="Line 910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281" name="Line 911"/>
        <xdr:cNvSpPr>
          <a:spLocks/>
        </xdr:cNvSpPr>
      </xdr:nvSpPr>
      <xdr:spPr>
        <a:xfrm>
          <a:off x="6381750" y="3467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104775</xdr:rowOff>
    </xdr:from>
    <xdr:to>
      <xdr:col>22</xdr:col>
      <xdr:colOff>28575</xdr:colOff>
      <xdr:row>15</xdr:row>
      <xdr:rowOff>114300</xdr:rowOff>
    </xdr:to>
    <xdr:sp>
      <xdr:nvSpPr>
        <xdr:cNvPr id="282" name="Line 912"/>
        <xdr:cNvSpPr>
          <a:spLocks/>
        </xdr:cNvSpPr>
      </xdr:nvSpPr>
      <xdr:spPr>
        <a:xfrm>
          <a:off x="4514850" y="34004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83" name="Line 913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84" name="Line 914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285" name="Line 917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142875</xdr:rowOff>
    </xdr:from>
    <xdr:to>
      <xdr:col>13</xdr:col>
      <xdr:colOff>0</xdr:colOff>
      <xdr:row>23</xdr:row>
      <xdr:rowOff>142875</xdr:rowOff>
    </xdr:to>
    <xdr:sp>
      <xdr:nvSpPr>
        <xdr:cNvPr id="286" name="Line 919"/>
        <xdr:cNvSpPr>
          <a:spLocks/>
        </xdr:cNvSpPr>
      </xdr:nvSpPr>
      <xdr:spPr>
        <a:xfrm>
          <a:off x="6381750" y="541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287" name="Line 920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95250</xdr:rowOff>
    </xdr:from>
    <xdr:to>
      <xdr:col>13</xdr:col>
      <xdr:colOff>0</xdr:colOff>
      <xdr:row>25</xdr:row>
      <xdr:rowOff>104775</xdr:rowOff>
    </xdr:to>
    <xdr:sp>
      <xdr:nvSpPr>
        <xdr:cNvPr id="288" name="Line 923"/>
        <xdr:cNvSpPr>
          <a:spLocks/>
        </xdr:cNvSpPr>
      </xdr:nvSpPr>
      <xdr:spPr>
        <a:xfrm>
          <a:off x="6381750" y="58674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89" name="Line 924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90" name="Line 925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91" name="Line 926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92" name="Line 927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93" name="Line 928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294" name="Line 929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142875</xdr:rowOff>
    </xdr:from>
    <xdr:to>
      <xdr:col>14</xdr:col>
      <xdr:colOff>0</xdr:colOff>
      <xdr:row>29</xdr:row>
      <xdr:rowOff>142875</xdr:rowOff>
    </xdr:to>
    <xdr:sp>
      <xdr:nvSpPr>
        <xdr:cNvPr id="295" name="Line 936"/>
        <xdr:cNvSpPr>
          <a:spLocks/>
        </xdr:cNvSpPr>
      </xdr:nvSpPr>
      <xdr:spPr>
        <a:xfrm>
          <a:off x="6848475" y="6905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457200</xdr:colOff>
      <xdr:row>34</xdr:row>
      <xdr:rowOff>104775</xdr:rowOff>
    </xdr:from>
    <xdr:to>
      <xdr:col>21</xdr:col>
      <xdr:colOff>447675</xdr:colOff>
      <xdr:row>34</xdr:row>
      <xdr:rowOff>123825</xdr:rowOff>
    </xdr:to>
    <xdr:sp>
      <xdr:nvSpPr>
        <xdr:cNvPr id="296" name="Line 938"/>
        <xdr:cNvSpPr>
          <a:spLocks/>
        </xdr:cNvSpPr>
      </xdr:nvSpPr>
      <xdr:spPr>
        <a:xfrm>
          <a:off x="8705850" y="8105775"/>
          <a:ext cx="185737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104775</xdr:rowOff>
    </xdr:from>
    <xdr:to>
      <xdr:col>23</xdr:col>
      <xdr:colOff>457200</xdr:colOff>
      <xdr:row>37</xdr:row>
      <xdr:rowOff>123825</xdr:rowOff>
    </xdr:to>
    <xdr:sp>
      <xdr:nvSpPr>
        <xdr:cNvPr id="297" name="Line 941"/>
        <xdr:cNvSpPr>
          <a:spLocks/>
        </xdr:cNvSpPr>
      </xdr:nvSpPr>
      <xdr:spPr>
        <a:xfrm>
          <a:off x="6848475" y="8848725"/>
          <a:ext cx="46577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123825</xdr:rowOff>
    </xdr:from>
    <xdr:to>
      <xdr:col>23</xdr:col>
      <xdr:colOff>9525</xdr:colOff>
      <xdr:row>52</xdr:row>
      <xdr:rowOff>152400</xdr:rowOff>
    </xdr:to>
    <xdr:sp>
      <xdr:nvSpPr>
        <xdr:cNvPr id="298" name="Line 945"/>
        <xdr:cNvSpPr>
          <a:spLocks/>
        </xdr:cNvSpPr>
      </xdr:nvSpPr>
      <xdr:spPr>
        <a:xfrm flipV="1">
          <a:off x="9182100" y="12163425"/>
          <a:ext cx="1876425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57</xdr:row>
      <xdr:rowOff>123825</xdr:rowOff>
    </xdr:from>
    <xdr:to>
      <xdr:col>8</xdr:col>
      <xdr:colOff>0</xdr:colOff>
      <xdr:row>57</xdr:row>
      <xdr:rowOff>133350</xdr:rowOff>
    </xdr:to>
    <xdr:sp>
      <xdr:nvSpPr>
        <xdr:cNvPr id="299" name="Line 950"/>
        <xdr:cNvSpPr>
          <a:spLocks/>
        </xdr:cNvSpPr>
      </xdr:nvSpPr>
      <xdr:spPr>
        <a:xfrm flipV="1">
          <a:off x="3105150" y="13401675"/>
          <a:ext cx="9429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71</xdr:row>
      <xdr:rowOff>133350</xdr:rowOff>
    </xdr:from>
    <xdr:to>
      <xdr:col>25</xdr:col>
      <xdr:colOff>457200</xdr:colOff>
      <xdr:row>71</xdr:row>
      <xdr:rowOff>142875</xdr:rowOff>
    </xdr:to>
    <xdr:sp>
      <xdr:nvSpPr>
        <xdr:cNvPr id="300" name="Line 952"/>
        <xdr:cNvSpPr>
          <a:spLocks/>
        </xdr:cNvSpPr>
      </xdr:nvSpPr>
      <xdr:spPr>
        <a:xfrm>
          <a:off x="3095625" y="16878300"/>
          <a:ext cx="93440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72</xdr:row>
      <xdr:rowOff>123825</xdr:rowOff>
    </xdr:from>
    <xdr:to>
      <xdr:col>26</xdr:col>
      <xdr:colOff>9525</xdr:colOff>
      <xdr:row>72</xdr:row>
      <xdr:rowOff>133350</xdr:rowOff>
    </xdr:to>
    <xdr:sp>
      <xdr:nvSpPr>
        <xdr:cNvPr id="301" name="Line 953"/>
        <xdr:cNvSpPr>
          <a:spLocks/>
        </xdr:cNvSpPr>
      </xdr:nvSpPr>
      <xdr:spPr>
        <a:xfrm flipV="1">
          <a:off x="3105150" y="17116425"/>
          <a:ext cx="93535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133350</xdr:rowOff>
    </xdr:from>
    <xdr:to>
      <xdr:col>25</xdr:col>
      <xdr:colOff>447675</xdr:colOff>
      <xdr:row>74</xdr:row>
      <xdr:rowOff>142875</xdr:rowOff>
    </xdr:to>
    <xdr:sp>
      <xdr:nvSpPr>
        <xdr:cNvPr id="302" name="Line 955"/>
        <xdr:cNvSpPr>
          <a:spLocks/>
        </xdr:cNvSpPr>
      </xdr:nvSpPr>
      <xdr:spPr>
        <a:xfrm flipV="1">
          <a:off x="3124200" y="17621250"/>
          <a:ext cx="9305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114300</xdr:rowOff>
    </xdr:from>
    <xdr:to>
      <xdr:col>8</xdr:col>
      <xdr:colOff>19050</xdr:colOff>
      <xdr:row>55</xdr:row>
      <xdr:rowOff>123825</xdr:rowOff>
    </xdr:to>
    <xdr:sp>
      <xdr:nvSpPr>
        <xdr:cNvPr id="303" name="Line 957"/>
        <xdr:cNvSpPr>
          <a:spLocks/>
        </xdr:cNvSpPr>
      </xdr:nvSpPr>
      <xdr:spPr>
        <a:xfrm flipV="1">
          <a:off x="3124200" y="12896850"/>
          <a:ext cx="9429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142875</xdr:rowOff>
    </xdr:from>
    <xdr:to>
      <xdr:col>26</xdr:col>
      <xdr:colOff>9525</xdr:colOff>
      <xdr:row>56</xdr:row>
      <xdr:rowOff>152400</xdr:rowOff>
    </xdr:to>
    <xdr:sp>
      <xdr:nvSpPr>
        <xdr:cNvPr id="304" name="Line 958"/>
        <xdr:cNvSpPr>
          <a:spLocks/>
        </xdr:cNvSpPr>
      </xdr:nvSpPr>
      <xdr:spPr>
        <a:xfrm flipV="1">
          <a:off x="11515725" y="13173075"/>
          <a:ext cx="9429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58</xdr:row>
      <xdr:rowOff>104775</xdr:rowOff>
    </xdr:from>
    <xdr:to>
      <xdr:col>22</xdr:col>
      <xdr:colOff>438150</xdr:colOff>
      <xdr:row>58</xdr:row>
      <xdr:rowOff>114300</xdr:rowOff>
    </xdr:to>
    <xdr:sp>
      <xdr:nvSpPr>
        <xdr:cNvPr id="305" name="Line 959"/>
        <xdr:cNvSpPr>
          <a:spLocks/>
        </xdr:cNvSpPr>
      </xdr:nvSpPr>
      <xdr:spPr>
        <a:xfrm>
          <a:off x="5905500" y="1363027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24</xdr:col>
      <xdr:colOff>9525</xdr:colOff>
      <xdr:row>10</xdr:row>
      <xdr:rowOff>142875</xdr:rowOff>
    </xdr:to>
    <xdr:sp>
      <xdr:nvSpPr>
        <xdr:cNvPr id="306" name="Line 960"/>
        <xdr:cNvSpPr>
          <a:spLocks/>
        </xdr:cNvSpPr>
      </xdr:nvSpPr>
      <xdr:spPr>
        <a:xfrm flipV="1">
          <a:off x="3590925" y="2181225"/>
          <a:ext cx="7934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123825</xdr:rowOff>
    </xdr:from>
    <xdr:to>
      <xdr:col>24</xdr:col>
      <xdr:colOff>9525</xdr:colOff>
      <xdr:row>11</xdr:row>
      <xdr:rowOff>142875</xdr:rowOff>
    </xdr:to>
    <xdr:sp>
      <xdr:nvSpPr>
        <xdr:cNvPr id="307" name="Line 961"/>
        <xdr:cNvSpPr>
          <a:spLocks/>
        </xdr:cNvSpPr>
      </xdr:nvSpPr>
      <xdr:spPr>
        <a:xfrm flipV="1">
          <a:off x="3590925" y="2428875"/>
          <a:ext cx="7934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123825</xdr:rowOff>
    </xdr:from>
    <xdr:to>
      <xdr:col>24</xdr:col>
      <xdr:colOff>9525</xdr:colOff>
      <xdr:row>12</xdr:row>
      <xdr:rowOff>142875</xdr:rowOff>
    </xdr:to>
    <xdr:sp>
      <xdr:nvSpPr>
        <xdr:cNvPr id="308" name="Line 962"/>
        <xdr:cNvSpPr>
          <a:spLocks/>
        </xdr:cNvSpPr>
      </xdr:nvSpPr>
      <xdr:spPr>
        <a:xfrm flipV="1">
          <a:off x="3590925" y="2676525"/>
          <a:ext cx="7934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24</xdr:col>
      <xdr:colOff>9525</xdr:colOff>
      <xdr:row>13</xdr:row>
      <xdr:rowOff>142875</xdr:rowOff>
    </xdr:to>
    <xdr:sp>
      <xdr:nvSpPr>
        <xdr:cNvPr id="309" name="Line 963"/>
        <xdr:cNvSpPr>
          <a:spLocks/>
        </xdr:cNvSpPr>
      </xdr:nvSpPr>
      <xdr:spPr>
        <a:xfrm flipV="1">
          <a:off x="3590925" y="2924175"/>
          <a:ext cx="7934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13</xdr:col>
      <xdr:colOff>0</xdr:colOff>
      <xdr:row>16</xdr:row>
      <xdr:rowOff>104775</xdr:rowOff>
    </xdr:to>
    <xdr:sp>
      <xdr:nvSpPr>
        <xdr:cNvPr id="310" name="Line 964"/>
        <xdr:cNvSpPr>
          <a:spLocks/>
        </xdr:cNvSpPr>
      </xdr:nvSpPr>
      <xdr:spPr>
        <a:xfrm>
          <a:off x="6381750" y="36385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1" name="Line 965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2" name="Line 966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3" name="Line 967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4" name="Line 968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5" name="Line 969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316" name="Line 970"/>
        <xdr:cNvSpPr>
          <a:spLocks/>
        </xdr:cNvSpPr>
      </xdr:nvSpPr>
      <xdr:spPr>
        <a:xfrm>
          <a:off x="6381750" y="3714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22</xdr:col>
      <xdr:colOff>28575</xdr:colOff>
      <xdr:row>16</xdr:row>
      <xdr:rowOff>114300</xdr:rowOff>
    </xdr:to>
    <xdr:sp>
      <xdr:nvSpPr>
        <xdr:cNvPr id="317" name="Line 971"/>
        <xdr:cNvSpPr>
          <a:spLocks/>
        </xdr:cNvSpPr>
      </xdr:nvSpPr>
      <xdr:spPr>
        <a:xfrm>
          <a:off x="4514850" y="36480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0</xdr:colOff>
      <xdr:row>17</xdr:row>
      <xdr:rowOff>104775</xdr:rowOff>
    </xdr:to>
    <xdr:sp>
      <xdr:nvSpPr>
        <xdr:cNvPr id="318" name="Line 972"/>
        <xdr:cNvSpPr>
          <a:spLocks/>
        </xdr:cNvSpPr>
      </xdr:nvSpPr>
      <xdr:spPr>
        <a:xfrm>
          <a:off x="6381750" y="38862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19" name="Line 973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20" name="Line 974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21" name="Line 975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22" name="Line 976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23" name="Line 977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171450</xdr:rowOff>
    </xdr:from>
    <xdr:to>
      <xdr:col>13</xdr:col>
      <xdr:colOff>0</xdr:colOff>
      <xdr:row>17</xdr:row>
      <xdr:rowOff>171450</xdr:rowOff>
    </xdr:to>
    <xdr:sp>
      <xdr:nvSpPr>
        <xdr:cNvPr id="324" name="Line 978"/>
        <xdr:cNvSpPr>
          <a:spLocks/>
        </xdr:cNvSpPr>
      </xdr:nvSpPr>
      <xdr:spPr>
        <a:xfrm>
          <a:off x="6381750" y="3962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104775</xdr:rowOff>
    </xdr:from>
    <xdr:to>
      <xdr:col>22</xdr:col>
      <xdr:colOff>28575</xdr:colOff>
      <xdr:row>17</xdr:row>
      <xdr:rowOff>114300</xdr:rowOff>
    </xdr:to>
    <xdr:sp>
      <xdr:nvSpPr>
        <xdr:cNvPr id="325" name="Line 979"/>
        <xdr:cNvSpPr>
          <a:spLocks/>
        </xdr:cNvSpPr>
      </xdr:nvSpPr>
      <xdr:spPr>
        <a:xfrm>
          <a:off x="4514850" y="38957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95250</xdr:rowOff>
    </xdr:from>
    <xdr:to>
      <xdr:col>13</xdr:col>
      <xdr:colOff>0</xdr:colOff>
      <xdr:row>18</xdr:row>
      <xdr:rowOff>104775</xdr:rowOff>
    </xdr:to>
    <xdr:sp>
      <xdr:nvSpPr>
        <xdr:cNvPr id="326" name="Line 980"/>
        <xdr:cNvSpPr>
          <a:spLocks/>
        </xdr:cNvSpPr>
      </xdr:nvSpPr>
      <xdr:spPr>
        <a:xfrm>
          <a:off x="6381750" y="41338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27" name="Line 981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28" name="Line 982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29" name="Line 983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30" name="Line 984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31" name="Line 985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171450</xdr:rowOff>
    </xdr:from>
    <xdr:to>
      <xdr:col>13</xdr:col>
      <xdr:colOff>0</xdr:colOff>
      <xdr:row>18</xdr:row>
      <xdr:rowOff>171450</xdr:rowOff>
    </xdr:to>
    <xdr:sp>
      <xdr:nvSpPr>
        <xdr:cNvPr id="332" name="Line 986"/>
        <xdr:cNvSpPr>
          <a:spLocks/>
        </xdr:cNvSpPr>
      </xdr:nvSpPr>
      <xdr:spPr>
        <a:xfrm>
          <a:off x="6381750" y="421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104775</xdr:rowOff>
    </xdr:from>
    <xdr:to>
      <xdr:col>22</xdr:col>
      <xdr:colOff>28575</xdr:colOff>
      <xdr:row>18</xdr:row>
      <xdr:rowOff>114300</xdr:rowOff>
    </xdr:to>
    <xdr:sp>
      <xdr:nvSpPr>
        <xdr:cNvPr id="333" name="Line 987"/>
        <xdr:cNvSpPr>
          <a:spLocks/>
        </xdr:cNvSpPr>
      </xdr:nvSpPr>
      <xdr:spPr>
        <a:xfrm>
          <a:off x="4514850" y="41433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13</xdr:col>
      <xdr:colOff>0</xdr:colOff>
      <xdr:row>19</xdr:row>
      <xdr:rowOff>104775</xdr:rowOff>
    </xdr:to>
    <xdr:sp>
      <xdr:nvSpPr>
        <xdr:cNvPr id="334" name="Line 988"/>
        <xdr:cNvSpPr>
          <a:spLocks/>
        </xdr:cNvSpPr>
      </xdr:nvSpPr>
      <xdr:spPr>
        <a:xfrm>
          <a:off x="6381750" y="43815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35" name="Line 989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36" name="Line 990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37" name="Line 991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38" name="Line 992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39" name="Line 993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171450</xdr:rowOff>
    </xdr:from>
    <xdr:to>
      <xdr:col>13</xdr:col>
      <xdr:colOff>0</xdr:colOff>
      <xdr:row>19</xdr:row>
      <xdr:rowOff>171450</xdr:rowOff>
    </xdr:to>
    <xdr:sp>
      <xdr:nvSpPr>
        <xdr:cNvPr id="340" name="Line 994"/>
        <xdr:cNvSpPr>
          <a:spLocks/>
        </xdr:cNvSpPr>
      </xdr:nvSpPr>
      <xdr:spPr>
        <a:xfrm>
          <a:off x="6381750" y="4457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22</xdr:col>
      <xdr:colOff>28575</xdr:colOff>
      <xdr:row>19</xdr:row>
      <xdr:rowOff>114300</xdr:rowOff>
    </xdr:to>
    <xdr:sp>
      <xdr:nvSpPr>
        <xdr:cNvPr id="341" name="Line 995"/>
        <xdr:cNvSpPr>
          <a:spLocks/>
        </xdr:cNvSpPr>
      </xdr:nvSpPr>
      <xdr:spPr>
        <a:xfrm>
          <a:off x="4514850" y="43910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95250</xdr:rowOff>
    </xdr:from>
    <xdr:to>
      <xdr:col>13</xdr:col>
      <xdr:colOff>0</xdr:colOff>
      <xdr:row>20</xdr:row>
      <xdr:rowOff>104775</xdr:rowOff>
    </xdr:to>
    <xdr:sp>
      <xdr:nvSpPr>
        <xdr:cNvPr id="342" name="Line 996"/>
        <xdr:cNvSpPr>
          <a:spLocks/>
        </xdr:cNvSpPr>
      </xdr:nvSpPr>
      <xdr:spPr>
        <a:xfrm>
          <a:off x="6381750" y="46291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3" name="Line 997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4" name="Line 998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5" name="Line 999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6" name="Line 1000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7" name="Line 1001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171450</xdr:rowOff>
    </xdr:from>
    <xdr:to>
      <xdr:col>13</xdr:col>
      <xdr:colOff>0</xdr:colOff>
      <xdr:row>20</xdr:row>
      <xdr:rowOff>171450</xdr:rowOff>
    </xdr:to>
    <xdr:sp>
      <xdr:nvSpPr>
        <xdr:cNvPr id="348" name="Line 1002"/>
        <xdr:cNvSpPr>
          <a:spLocks/>
        </xdr:cNvSpPr>
      </xdr:nvSpPr>
      <xdr:spPr>
        <a:xfrm>
          <a:off x="63817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104775</xdr:rowOff>
    </xdr:from>
    <xdr:to>
      <xdr:col>22</xdr:col>
      <xdr:colOff>28575</xdr:colOff>
      <xdr:row>20</xdr:row>
      <xdr:rowOff>114300</xdr:rowOff>
    </xdr:to>
    <xdr:sp>
      <xdr:nvSpPr>
        <xdr:cNvPr id="349" name="Line 1003"/>
        <xdr:cNvSpPr>
          <a:spLocks/>
        </xdr:cNvSpPr>
      </xdr:nvSpPr>
      <xdr:spPr>
        <a:xfrm>
          <a:off x="4514850" y="46386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95250</xdr:rowOff>
    </xdr:from>
    <xdr:to>
      <xdr:col>13</xdr:col>
      <xdr:colOff>0</xdr:colOff>
      <xdr:row>21</xdr:row>
      <xdr:rowOff>104775</xdr:rowOff>
    </xdr:to>
    <xdr:sp>
      <xdr:nvSpPr>
        <xdr:cNvPr id="350" name="Line 1004"/>
        <xdr:cNvSpPr>
          <a:spLocks/>
        </xdr:cNvSpPr>
      </xdr:nvSpPr>
      <xdr:spPr>
        <a:xfrm>
          <a:off x="6381750" y="48768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1" name="Line 1005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2" name="Line 1006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3" name="Line 1007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4" name="Line 1008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5" name="Line 1009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171450</xdr:rowOff>
    </xdr:from>
    <xdr:to>
      <xdr:col>13</xdr:col>
      <xdr:colOff>0</xdr:colOff>
      <xdr:row>21</xdr:row>
      <xdr:rowOff>171450</xdr:rowOff>
    </xdr:to>
    <xdr:sp>
      <xdr:nvSpPr>
        <xdr:cNvPr id="356" name="Line 1010"/>
        <xdr:cNvSpPr>
          <a:spLocks/>
        </xdr:cNvSpPr>
      </xdr:nvSpPr>
      <xdr:spPr>
        <a:xfrm>
          <a:off x="6381750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104775</xdr:rowOff>
    </xdr:from>
    <xdr:to>
      <xdr:col>22</xdr:col>
      <xdr:colOff>28575</xdr:colOff>
      <xdr:row>21</xdr:row>
      <xdr:rowOff>114300</xdr:rowOff>
    </xdr:to>
    <xdr:sp>
      <xdr:nvSpPr>
        <xdr:cNvPr id="357" name="Line 1011"/>
        <xdr:cNvSpPr>
          <a:spLocks/>
        </xdr:cNvSpPr>
      </xdr:nvSpPr>
      <xdr:spPr>
        <a:xfrm>
          <a:off x="4514850" y="48863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123825</xdr:rowOff>
    </xdr:from>
    <xdr:to>
      <xdr:col>13</xdr:col>
      <xdr:colOff>0</xdr:colOff>
      <xdr:row>22</xdr:row>
      <xdr:rowOff>133350</xdr:rowOff>
    </xdr:to>
    <xdr:sp>
      <xdr:nvSpPr>
        <xdr:cNvPr id="358" name="Line 1012"/>
        <xdr:cNvSpPr>
          <a:spLocks/>
        </xdr:cNvSpPr>
      </xdr:nvSpPr>
      <xdr:spPr>
        <a:xfrm flipV="1">
          <a:off x="6381750" y="51530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95250</xdr:rowOff>
    </xdr:from>
    <xdr:to>
      <xdr:col>13</xdr:col>
      <xdr:colOff>0</xdr:colOff>
      <xdr:row>22</xdr:row>
      <xdr:rowOff>104775</xdr:rowOff>
    </xdr:to>
    <xdr:sp>
      <xdr:nvSpPr>
        <xdr:cNvPr id="359" name="Line 1013"/>
        <xdr:cNvSpPr>
          <a:spLocks/>
        </xdr:cNvSpPr>
      </xdr:nvSpPr>
      <xdr:spPr>
        <a:xfrm>
          <a:off x="6381750" y="51244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0" name="Line 1014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1" name="Line 1015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2" name="Line 1016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3" name="Line 1017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4" name="Line 1018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171450</xdr:rowOff>
    </xdr:from>
    <xdr:to>
      <xdr:col>13</xdr:col>
      <xdr:colOff>0</xdr:colOff>
      <xdr:row>22</xdr:row>
      <xdr:rowOff>171450</xdr:rowOff>
    </xdr:to>
    <xdr:sp>
      <xdr:nvSpPr>
        <xdr:cNvPr id="365" name="Line 1019"/>
        <xdr:cNvSpPr>
          <a:spLocks/>
        </xdr:cNvSpPr>
      </xdr:nvSpPr>
      <xdr:spPr>
        <a:xfrm>
          <a:off x="6381750" y="520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104775</xdr:rowOff>
    </xdr:from>
    <xdr:to>
      <xdr:col>22</xdr:col>
      <xdr:colOff>28575</xdr:colOff>
      <xdr:row>22</xdr:row>
      <xdr:rowOff>114300</xdr:rowOff>
    </xdr:to>
    <xdr:sp>
      <xdr:nvSpPr>
        <xdr:cNvPr id="366" name="Line 1020"/>
        <xdr:cNvSpPr>
          <a:spLocks/>
        </xdr:cNvSpPr>
      </xdr:nvSpPr>
      <xdr:spPr>
        <a:xfrm>
          <a:off x="4514850" y="51339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123825</xdr:rowOff>
    </xdr:from>
    <xdr:to>
      <xdr:col>13</xdr:col>
      <xdr:colOff>0</xdr:colOff>
      <xdr:row>23</xdr:row>
      <xdr:rowOff>133350</xdr:rowOff>
    </xdr:to>
    <xdr:sp>
      <xdr:nvSpPr>
        <xdr:cNvPr id="367" name="Line 1021"/>
        <xdr:cNvSpPr>
          <a:spLocks/>
        </xdr:cNvSpPr>
      </xdr:nvSpPr>
      <xdr:spPr>
        <a:xfrm flipV="1">
          <a:off x="6381750" y="54006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13</xdr:col>
      <xdr:colOff>0</xdr:colOff>
      <xdr:row>23</xdr:row>
      <xdr:rowOff>104775</xdr:rowOff>
    </xdr:to>
    <xdr:sp>
      <xdr:nvSpPr>
        <xdr:cNvPr id="368" name="Line 1022"/>
        <xdr:cNvSpPr>
          <a:spLocks/>
        </xdr:cNvSpPr>
      </xdr:nvSpPr>
      <xdr:spPr>
        <a:xfrm>
          <a:off x="6381750" y="53721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69" name="Line 1023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70" name="Line 0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71" name="Line 1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72" name="Line 2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73" name="Line 3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171450</xdr:rowOff>
    </xdr:from>
    <xdr:to>
      <xdr:col>13</xdr:col>
      <xdr:colOff>0</xdr:colOff>
      <xdr:row>23</xdr:row>
      <xdr:rowOff>171450</xdr:rowOff>
    </xdr:to>
    <xdr:sp>
      <xdr:nvSpPr>
        <xdr:cNvPr id="374" name="Line 4"/>
        <xdr:cNvSpPr>
          <a:spLocks/>
        </xdr:cNvSpPr>
      </xdr:nvSpPr>
      <xdr:spPr>
        <a:xfrm>
          <a:off x="6381750" y="544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104775</xdr:rowOff>
    </xdr:from>
    <xdr:to>
      <xdr:col>22</xdr:col>
      <xdr:colOff>28575</xdr:colOff>
      <xdr:row>23</xdr:row>
      <xdr:rowOff>114300</xdr:rowOff>
    </xdr:to>
    <xdr:sp>
      <xdr:nvSpPr>
        <xdr:cNvPr id="375" name="Line 5"/>
        <xdr:cNvSpPr>
          <a:spLocks/>
        </xdr:cNvSpPr>
      </xdr:nvSpPr>
      <xdr:spPr>
        <a:xfrm>
          <a:off x="4514850" y="53816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123825</xdr:rowOff>
    </xdr:from>
    <xdr:to>
      <xdr:col>13</xdr:col>
      <xdr:colOff>0</xdr:colOff>
      <xdr:row>24</xdr:row>
      <xdr:rowOff>133350</xdr:rowOff>
    </xdr:to>
    <xdr:sp>
      <xdr:nvSpPr>
        <xdr:cNvPr id="376" name="Line 6"/>
        <xdr:cNvSpPr>
          <a:spLocks/>
        </xdr:cNvSpPr>
      </xdr:nvSpPr>
      <xdr:spPr>
        <a:xfrm flipV="1">
          <a:off x="6381750" y="56483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95250</xdr:rowOff>
    </xdr:from>
    <xdr:to>
      <xdr:col>13</xdr:col>
      <xdr:colOff>0</xdr:colOff>
      <xdr:row>24</xdr:row>
      <xdr:rowOff>104775</xdr:rowOff>
    </xdr:to>
    <xdr:sp>
      <xdr:nvSpPr>
        <xdr:cNvPr id="377" name="Line 7"/>
        <xdr:cNvSpPr>
          <a:spLocks/>
        </xdr:cNvSpPr>
      </xdr:nvSpPr>
      <xdr:spPr>
        <a:xfrm>
          <a:off x="6381750" y="56197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78" name="Line 8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79" name="Line 9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80" name="Line 10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81" name="Line 11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82" name="Line 12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83" name="Line 13"/>
        <xdr:cNvSpPr>
          <a:spLocks/>
        </xdr:cNvSpPr>
      </xdr:nvSpPr>
      <xdr:spPr>
        <a:xfrm>
          <a:off x="6381750" y="5695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104775</xdr:rowOff>
    </xdr:from>
    <xdr:to>
      <xdr:col>22</xdr:col>
      <xdr:colOff>28575</xdr:colOff>
      <xdr:row>24</xdr:row>
      <xdr:rowOff>114300</xdr:rowOff>
    </xdr:to>
    <xdr:sp>
      <xdr:nvSpPr>
        <xdr:cNvPr id="384" name="Line 14"/>
        <xdr:cNvSpPr>
          <a:spLocks/>
        </xdr:cNvSpPr>
      </xdr:nvSpPr>
      <xdr:spPr>
        <a:xfrm>
          <a:off x="4514850" y="56292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123825</xdr:rowOff>
    </xdr:from>
    <xdr:to>
      <xdr:col>13</xdr:col>
      <xdr:colOff>0</xdr:colOff>
      <xdr:row>25</xdr:row>
      <xdr:rowOff>133350</xdr:rowOff>
    </xdr:to>
    <xdr:sp>
      <xdr:nvSpPr>
        <xdr:cNvPr id="385" name="Line 15"/>
        <xdr:cNvSpPr>
          <a:spLocks/>
        </xdr:cNvSpPr>
      </xdr:nvSpPr>
      <xdr:spPr>
        <a:xfrm flipV="1">
          <a:off x="6381750" y="58959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95250</xdr:rowOff>
    </xdr:from>
    <xdr:to>
      <xdr:col>13</xdr:col>
      <xdr:colOff>0</xdr:colOff>
      <xdr:row>25</xdr:row>
      <xdr:rowOff>104775</xdr:rowOff>
    </xdr:to>
    <xdr:sp>
      <xdr:nvSpPr>
        <xdr:cNvPr id="386" name="Line 16"/>
        <xdr:cNvSpPr>
          <a:spLocks/>
        </xdr:cNvSpPr>
      </xdr:nvSpPr>
      <xdr:spPr>
        <a:xfrm>
          <a:off x="6381750" y="58674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87" name="Line 17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88" name="Line 18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89" name="Line 19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90" name="Line 20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91" name="Line 21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171450</xdr:rowOff>
    </xdr:from>
    <xdr:to>
      <xdr:col>13</xdr:col>
      <xdr:colOff>0</xdr:colOff>
      <xdr:row>25</xdr:row>
      <xdr:rowOff>171450</xdr:rowOff>
    </xdr:to>
    <xdr:sp>
      <xdr:nvSpPr>
        <xdr:cNvPr id="392" name="Line 22"/>
        <xdr:cNvSpPr>
          <a:spLocks/>
        </xdr:cNvSpPr>
      </xdr:nvSpPr>
      <xdr:spPr>
        <a:xfrm>
          <a:off x="6381750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104775</xdr:rowOff>
    </xdr:from>
    <xdr:to>
      <xdr:col>22</xdr:col>
      <xdr:colOff>28575</xdr:colOff>
      <xdr:row>25</xdr:row>
      <xdr:rowOff>114300</xdr:rowOff>
    </xdr:to>
    <xdr:sp>
      <xdr:nvSpPr>
        <xdr:cNvPr id="393" name="Line 23"/>
        <xdr:cNvSpPr>
          <a:spLocks/>
        </xdr:cNvSpPr>
      </xdr:nvSpPr>
      <xdr:spPr>
        <a:xfrm>
          <a:off x="4514850" y="58769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394" name="Line 24"/>
        <xdr:cNvSpPr>
          <a:spLocks/>
        </xdr:cNvSpPr>
      </xdr:nvSpPr>
      <xdr:spPr>
        <a:xfrm flipV="1">
          <a:off x="6381750" y="61436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95250</xdr:rowOff>
    </xdr:from>
    <xdr:to>
      <xdr:col>13</xdr:col>
      <xdr:colOff>0</xdr:colOff>
      <xdr:row>26</xdr:row>
      <xdr:rowOff>104775</xdr:rowOff>
    </xdr:to>
    <xdr:sp>
      <xdr:nvSpPr>
        <xdr:cNvPr id="395" name="Line 25"/>
        <xdr:cNvSpPr>
          <a:spLocks/>
        </xdr:cNvSpPr>
      </xdr:nvSpPr>
      <xdr:spPr>
        <a:xfrm>
          <a:off x="6381750" y="61150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396" name="Line 26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397" name="Line 27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398" name="Line 28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399" name="Line 29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400" name="Line 30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171450</xdr:rowOff>
    </xdr:from>
    <xdr:to>
      <xdr:col>13</xdr:col>
      <xdr:colOff>0</xdr:colOff>
      <xdr:row>26</xdr:row>
      <xdr:rowOff>171450</xdr:rowOff>
    </xdr:to>
    <xdr:sp>
      <xdr:nvSpPr>
        <xdr:cNvPr id="401" name="Line 31"/>
        <xdr:cNvSpPr>
          <a:spLocks/>
        </xdr:cNvSpPr>
      </xdr:nvSpPr>
      <xdr:spPr>
        <a:xfrm>
          <a:off x="6381750" y="619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104775</xdr:rowOff>
    </xdr:from>
    <xdr:to>
      <xdr:col>22</xdr:col>
      <xdr:colOff>28575</xdr:colOff>
      <xdr:row>26</xdr:row>
      <xdr:rowOff>114300</xdr:rowOff>
    </xdr:to>
    <xdr:sp>
      <xdr:nvSpPr>
        <xdr:cNvPr id="402" name="Line 32"/>
        <xdr:cNvSpPr>
          <a:spLocks/>
        </xdr:cNvSpPr>
      </xdr:nvSpPr>
      <xdr:spPr>
        <a:xfrm>
          <a:off x="4514850" y="61245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142875</xdr:rowOff>
    </xdr:from>
    <xdr:to>
      <xdr:col>13</xdr:col>
      <xdr:colOff>0</xdr:colOff>
      <xdr:row>27</xdr:row>
      <xdr:rowOff>142875</xdr:rowOff>
    </xdr:to>
    <xdr:sp>
      <xdr:nvSpPr>
        <xdr:cNvPr id="403" name="Line 33"/>
        <xdr:cNvSpPr>
          <a:spLocks/>
        </xdr:cNvSpPr>
      </xdr:nvSpPr>
      <xdr:spPr>
        <a:xfrm>
          <a:off x="6381750" y="6410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142875</xdr:rowOff>
    </xdr:from>
    <xdr:to>
      <xdr:col>14</xdr:col>
      <xdr:colOff>0</xdr:colOff>
      <xdr:row>27</xdr:row>
      <xdr:rowOff>142875</xdr:rowOff>
    </xdr:to>
    <xdr:sp>
      <xdr:nvSpPr>
        <xdr:cNvPr id="404" name="Line 34"/>
        <xdr:cNvSpPr>
          <a:spLocks/>
        </xdr:cNvSpPr>
      </xdr:nvSpPr>
      <xdr:spPr>
        <a:xfrm>
          <a:off x="6848475" y="6410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123825</xdr:rowOff>
    </xdr:from>
    <xdr:to>
      <xdr:col>13</xdr:col>
      <xdr:colOff>0</xdr:colOff>
      <xdr:row>27</xdr:row>
      <xdr:rowOff>133350</xdr:rowOff>
    </xdr:to>
    <xdr:sp>
      <xdr:nvSpPr>
        <xdr:cNvPr id="405" name="Line 35"/>
        <xdr:cNvSpPr>
          <a:spLocks/>
        </xdr:cNvSpPr>
      </xdr:nvSpPr>
      <xdr:spPr>
        <a:xfrm flipV="1">
          <a:off x="6381750" y="63912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0</xdr:colOff>
      <xdr:row>27</xdr:row>
      <xdr:rowOff>104775</xdr:rowOff>
    </xdr:to>
    <xdr:sp>
      <xdr:nvSpPr>
        <xdr:cNvPr id="406" name="Line 36"/>
        <xdr:cNvSpPr>
          <a:spLocks/>
        </xdr:cNvSpPr>
      </xdr:nvSpPr>
      <xdr:spPr>
        <a:xfrm>
          <a:off x="6381750" y="63627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07" name="Line 37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08" name="Line 38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09" name="Line 39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10" name="Line 40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11" name="Line 41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171450</xdr:rowOff>
    </xdr:from>
    <xdr:to>
      <xdr:col>13</xdr:col>
      <xdr:colOff>0</xdr:colOff>
      <xdr:row>27</xdr:row>
      <xdr:rowOff>171450</xdr:rowOff>
    </xdr:to>
    <xdr:sp>
      <xdr:nvSpPr>
        <xdr:cNvPr id="412" name="Line 42"/>
        <xdr:cNvSpPr>
          <a:spLocks/>
        </xdr:cNvSpPr>
      </xdr:nvSpPr>
      <xdr:spPr>
        <a:xfrm>
          <a:off x="6381750" y="6438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104775</xdr:rowOff>
    </xdr:from>
    <xdr:to>
      <xdr:col>22</xdr:col>
      <xdr:colOff>28575</xdr:colOff>
      <xdr:row>27</xdr:row>
      <xdr:rowOff>114300</xdr:rowOff>
    </xdr:to>
    <xdr:sp>
      <xdr:nvSpPr>
        <xdr:cNvPr id="413" name="Line 43"/>
        <xdr:cNvSpPr>
          <a:spLocks/>
        </xdr:cNvSpPr>
      </xdr:nvSpPr>
      <xdr:spPr>
        <a:xfrm>
          <a:off x="4514850" y="63722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142875</xdr:rowOff>
    </xdr:from>
    <xdr:to>
      <xdr:col>13</xdr:col>
      <xdr:colOff>0</xdr:colOff>
      <xdr:row>28</xdr:row>
      <xdr:rowOff>142875</xdr:rowOff>
    </xdr:to>
    <xdr:sp>
      <xdr:nvSpPr>
        <xdr:cNvPr id="414" name="Line 44"/>
        <xdr:cNvSpPr>
          <a:spLocks/>
        </xdr:cNvSpPr>
      </xdr:nvSpPr>
      <xdr:spPr>
        <a:xfrm>
          <a:off x="6381750" y="6657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142875</xdr:rowOff>
    </xdr:from>
    <xdr:to>
      <xdr:col>14</xdr:col>
      <xdr:colOff>0</xdr:colOff>
      <xdr:row>28</xdr:row>
      <xdr:rowOff>142875</xdr:rowOff>
    </xdr:to>
    <xdr:sp>
      <xdr:nvSpPr>
        <xdr:cNvPr id="415" name="Line 45"/>
        <xdr:cNvSpPr>
          <a:spLocks/>
        </xdr:cNvSpPr>
      </xdr:nvSpPr>
      <xdr:spPr>
        <a:xfrm>
          <a:off x="6848475" y="6657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123825</xdr:rowOff>
    </xdr:from>
    <xdr:to>
      <xdr:col>13</xdr:col>
      <xdr:colOff>0</xdr:colOff>
      <xdr:row>28</xdr:row>
      <xdr:rowOff>133350</xdr:rowOff>
    </xdr:to>
    <xdr:sp>
      <xdr:nvSpPr>
        <xdr:cNvPr id="416" name="Line 46"/>
        <xdr:cNvSpPr>
          <a:spLocks/>
        </xdr:cNvSpPr>
      </xdr:nvSpPr>
      <xdr:spPr>
        <a:xfrm flipV="1">
          <a:off x="6381750" y="66389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0</xdr:colOff>
      <xdr:row>28</xdr:row>
      <xdr:rowOff>104775</xdr:rowOff>
    </xdr:to>
    <xdr:sp>
      <xdr:nvSpPr>
        <xdr:cNvPr id="417" name="Line 47"/>
        <xdr:cNvSpPr>
          <a:spLocks/>
        </xdr:cNvSpPr>
      </xdr:nvSpPr>
      <xdr:spPr>
        <a:xfrm>
          <a:off x="6381750" y="66103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18" name="Line 48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19" name="Line 49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20" name="Line 50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21" name="Line 51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22" name="Line 52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423" name="Line 53"/>
        <xdr:cNvSpPr>
          <a:spLocks/>
        </xdr:cNvSpPr>
      </xdr:nvSpPr>
      <xdr:spPr>
        <a:xfrm>
          <a:off x="6381750" y="668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104775</xdr:rowOff>
    </xdr:from>
    <xdr:to>
      <xdr:col>22</xdr:col>
      <xdr:colOff>28575</xdr:colOff>
      <xdr:row>28</xdr:row>
      <xdr:rowOff>114300</xdr:rowOff>
    </xdr:to>
    <xdr:sp>
      <xdr:nvSpPr>
        <xdr:cNvPr id="424" name="Line 54"/>
        <xdr:cNvSpPr>
          <a:spLocks/>
        </xdr:cNvSpPr>
      </xdr:nvSpPr>
      <xdr:spPr>
        <a:xfrm>
          <a:off x="4514850" y="661987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142875</xdr:rowOff>
    </xdr:from>
    <xdr:to>
      <xdr:col>13</xdr:col>
      <xdr:colOff>0</xdr:colOff>
      <xdr:row>29</xdr:row>
      <xdr:rowOff>142875</xdr:rowOff>
    </xdr:to>
    <xdr:sp>
      <xdr:nvSpPr>
        <xdr:cNvPr id="425" name="Line 55"/>
        <xdr:cNvSpPr>
          <a:spLocks/>
        </xdr:cNvSpPr>
      </xdr:nvSpPr>
      <xdr:spPr>
        <a:xfrm>
          <a:off x="6381750" y="6905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142875</xdr:rowOff>
    </xdr:from>
    <xdr:to>
      <xdr:col>14</xdr:col>
      <xdr:colOff>0</xdr:colOff>
      <xdr:row>29</xdr:row>
      <xdr:rowOff>142875</xdr:rowOff>
    </xdr:to>
    <xdr:sp>
      <xdr:nvSpPr>
        <xdr:cNvPr id="426" name="Line 56"/>
        <xdr:cNvSpPr>
          <a:spLocks/>
        </xdr:cNvSpPr>
      </xdr:nvSpPr>
      <xdr:spPr>
        <a:xfrm>
          <a:off x="6848475" y="6905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123825</xdr:rowOff>
    </xdr:from>
    <xdr:to>
      <xdr:col>13</xdr:col>
      <xdr:colOff>0</xdr:colOff>
      <xdr:row>29</xdr:row>
      <xdr:rowOff>133350</xdr:rowOff>
    </xdr:to>
    <xdr:sp>
      <xdr:nvSpPr>
        <xdr:cNvPr id="427" name="Line 57"/>
        <xdr:cNvSpPr>
          <a:spLocks/>
        </xdr:cNvSpPr>
      </xdr:nvSpPr>
      <xdr:spPr>
        <a:xfrm flipV="1">
          <a:off x="6381750" y="68865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104775</xdr:rowOff>
    </xdr:to>
    <xdr:sp>
      <xdr:nvSpPr>
        <xdr:cNvPr id="428" name="Line 58"/>
        <xdr:cNvSpPr>
          <a:spLocks/>
        </xdr:cNvSpPr>
      </xdr:nvSpPr>
      <xdr:spPr>
        <a:xfrm>
          <a:off x="6381750" y="68580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29" name="Line 59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30" name="Line 60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31" name="Line 61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32" name="Line 62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33" name="Line 63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13</xdr:col>
      <xdr:colOff>0</xdr:colOff>
      <xdr:row>29</xdr:row>
      <xdr:rowOff>171450</xdr:rowOff>
    </xdr:to>
    <xdr:sp>
      <xdr:nvSpPr>
        <xdr:cNvPr id="434" name="Line 64"/>
        <xdr:cNvSpPr>
          <a:spLocks/>
        </xdr:cNvSpPr>
      </xdr:nvSpPr>
      <xdr:spPr>
        <a:xfrm>
          <a:off x="6381750" y="6934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104775</xdr:rowOff>
    </xdr:from>
    <xdr:to>
      <xdr:col>22</xdr:col>
      <xdr:colOff>28575</xdr:colOff>
      <xdr:row>29</xdr:row>
      <xdr:rowOff>114300</xdr:rowOff>
    </xdr:to>
    <xdr:sp>
      <xdr:nvSpPr>
        <xdr:cNvPr id="435" name="Line 65"/>
        <xdr:cNvSpPr>
          <a:spLocks/>
        </xdr:cNvSpPr>
      </xdr:nvSpPr>
      <xdr:spPr>
        <a:xfrm>
          <a:off x="4514850" y="6867525"/>
          <a:ext cx="6096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171450</xdr:rowOff>
    </xdr:from>
    <xdr:to>
      <xdr:col>13</xdr:col>
      <xdr:colOff>0</xdr:colOff>
      <xdr:row>31</xdr:row>
      <xdr:rowOff>171450</xdr:rowOff>
    </xdr:to>
    <xdr:sp>
      <xdr:nvSpPr>
        <xdr:cNvPr id="436" name="Line 66"/>
        <xdr:cNvSpPr>
          <a:spLocks/>
        </xdr:cNvSpPr>
      </xdr:nvSpPr>
      <xdr:spPr>
        <a:xfrm>
          <a:off x="63817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171450</xdr:rowOff>
    </xdr:from>
    <xdr:to>
      <xdr:col>13</xdr:col>
      <xdr:colOff>0</xdr:colOff>
      <xdr:row>31</xdr:row>
      <xdr:rowOff>171450</xdr:rowOff>
    </xdr:to>
    <xdr:sp>
      <xdr:nvSpPr>
        <xdr:cNvPr id="437" name="Line 67"/>
        <xdr:cNvSpPr>
          <a:spLocks/>
        </xdr:cNvSpPr>
      </xdr:nvSpPr>
      <xdr:spPr>
        <a:xfrm>
          <a:off x="63817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142875</xdr:rowOff>
    </xdr:from>
    <xdr:to>
      <xdr:col>14</xdr:col>
      <xdr:colOff>0</xdr:colOff>
      <xdr:row>33</xdr:row>
      <xdr:rowOff>142875</xdr:rowOff>
    </xdr:to>
    <xdr:sp>
      <xdr:nvSpPr>
        <xdr:cNvPr id="438" name="Line 69"/>
        <xdr:cNvSpPr>
          <a:spLocks/>
        </xdr:cNvSpPr>
      </xdr:nvSpPr>
      <xdr:spPr>
        <a:xfrm>
          <a:off x="6848475" y="7896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142875</xdr:rowOff>
    </xdr:from>
    <xdr:to>
      <xdr:col>13</xdr:col>
      <xdr:colOff>0</xdr:colOff>
      <xdr:row>33</xdr:row>
      <xdr:rowOff>142875</xdr:rowOff>
    </xdr:to>
    <xdr:sp>
      <xdr:nvSpPr>
        <xdr:cNvPr id="439" name="Line 70"/>
        <xdr:cNvSpPr>
          <a:spLocks/>
        </xdr:cNvSpPr>
      </xdr:nvSpPr>
      <xdr:spPr>
        <a:xfrm>
          <a:off x="6381750" y="7896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142875</xdr:rowOff>
    </xdr:from>
    <xdr:to>
      <xdr:col>14</xdr:col>
      <xdr:colOff>0</xdr:colOff>
      <xdr:row>33</xdr:row>
      <xdr:rowOff>142875</xdr:rowOff>
    </xdr:to>
    <xdr:sp>
      <xdr:nvSpPr>
        <xdr:cNvPr id="440" name="Line 71"/>
        <xdr:cNvSpPr>
          <a:spLocks/>
        </xdr:cNvSpPr>
      </xdr:nvSpPr>
      <xdr:spPr>
        <a:xfrm>
          <a:off x="6848475" y="7896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123825</xdr:rowOff>
    </xdr:from>
    <xdr:to>
      <xdr:col>13</xdr:col>
      <xdr:colOff>0</xdr:colOff>
      <xdr:row>33</xdr:row>
      <xdr:rowOff>133350</xdr:rowOff>
    </xdr:to>
    <xdr:sp>
      <xdr:nvSpPr>
        <xdr:cNvPr id="441" name="Line 72"/>
        <xdr:cNvSpPr>
          <a:spLocks/>
        </xdr:cNvSpPr>
      </xdr:nvSpPr>
      <xdr:spPr>
        <a:xfrm flipV="1">
          <a:off x="6381750" y="78771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95250</xdr:rowOff>
    </xdr:from>
    <xdr:to>
      <xdr:col>13</xdr:col>
      <xdr:colOff>0</xdr:colOff>
      <xdr:row>33</xdr:row>
      <xdr:rowOff>104775</xdr:rowOff>
    </xdr:to>
    <xdr:sp>
      <xdr:nvSpPr>
        <xdr:cNvPr id="442" name="Line 73"/>
        <xdr:cNvSpPr>
          <a:spLocks/>
        </xdr:cNvSpPr>
      </xdr:nvSpPr>
      <xdr:spPr>
        <a:xfrm>
          <a:off x="6381750" y="78486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3" name="Line 74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4" name="Line 75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5" name="Line 76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6" name="Line 77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7" name="Line 78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0</xdr:colOff>
      <xdr:row>33</xdr:row>
      <xdr:rowOff>171450</xdr:rowOff>
    </xdr:to>
    <xdr:sp>
      <xdr:nvSpPr>
        <xdr:cNvPr id="448" name="Line 79"/>
        <xdr:cNvSpPr>
          <a:spLocks/>
        </xdr:cNvSpPr>
      </xdr:nvSpPr>
      <xdr:spPr>
        <a:xfrm>
          <a:off x="6381750" y="7924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114300</xdr:rowOff>
    </xdr:from>
    <xdr:to>
      <xdr:col>21</xdr:col>
      <xdr:colOff>447675</xdr:colOff>
      <xdr:row>35</xdr:row>
      <xdr:rowOff>123825</xdr:rowOff>
    </xdr:to>
    <xdr:sp>
      <xdr:nvSpPr>
        <xdr:cNvPr id="449" name="Line 81"/>
        <xdr:cNvSpPr>
          <a:spLocks/>
        </xdr:cNvSpPr>
      </xdr:nvSpPr>
      <xdr:spPr>
        <a:xfrm>
          <a:off x="4524375" y="8362950"/>
          <a:ext cx="60388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142875</xdr:rowOff>
    </xdr:from>
    <xdr:to>
      <xdr:col>14</xdr:col>
      <xdr:colOff>0</xdr:colOff>
      <xdr:row>35</xdr:row>
      <xdr:rowOff>142875</xdr:rowOff>
    </xdr:to>
    <xdr:sp>
      <xdr:nvSpPr>
        <xdr:cNvPr id="450" name="Line 82"/>
        <xdr:cNvSpPr>
          <a:spLocks/>
        </xdr:cNvSpPr>
      </xdr:nvSpPr>
      <xdr:spPr>
        <a:xfrm>
          <a:off x="6848475" y="83915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142875</xdr:rowOff>
    </xdr:from>
    <xdr:to>
      <xdr:col>13</xdr:col>
      <xdr:colOff>0</xdr:colOff>
      <xdr:row>35</xdr:row>
      <xdr:rowOff>142875</xdr:rowOff>
    </xdr:to>
    <xdr:sp>
      <xdr:nvSpPr>
        <xdr:cNvPr id="451" name="Line 83"/>
        <xdr:cNvSpPr>
          <a:spLocks/>
        </xdr:cNvSpPr>
      </xdr:nvSpPr>
      <xdr:spPr>
        <a:xfrm>
          <a:off x="6381750" y="83915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142875</xdr:rowOff>
    </xdr:from>
    <xdr:to>
      <xdr:col>14</xdr:col>
      <xdr:colOff>0</xdr:colOff>
      <xdr:row>35</xdr:row>
      <xdr:rowOff>142875</xdr:rowOff>
    </xdr:to>
    <xdr:sp>
      <xdr:nvSpPr>
        <xdr:cNvPr id="452" name="Line 84"/>
        <xdr:cNvSpPr>
          <a:spLocks/>
        </xdr:cNvSpPr>
      </xdr:nvSpPr>
      <xdr:spPr>
        <a:xfrm>
          <a:off x="6848475" y="83915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123825</xdr:rowOff>
    </xdr:from>
    <xdr:to>
      <xdr:col>13</xdr:col>
      <xdr:colOff>0</xdr:colOff>
      <xdr:row>35</xdr:row>
      <xdr:rowOff>133350</xdr:rowOff>
    </xdr:to>
    <xdr:sp>
      <xdr:nvSpPr>
        <xdr:cNvPr id="453" name="Line 85"/>
        <xdr:cNvSpPr>
          <a:spLocks/>
        </xdr:cNvSpPr>
      </xdr:nvSpPr>
      <xdr:spPr>
        <a:xfrm flipV="1">
          <a:off x="6381750" y="83724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0</xdr:colOff>
      <xdr:row>35</xdr:row>
      <xdr:rowOff>104775</xdr:rowOff>
    </xdr:to>
    <xdr:sp>
      <xdr:nvSpPr>
        <xdr:cNvPr id="454" name="Line 86"/>
        <xdr:cNvSpPr>
          <a:spLocks/>
        </xdr:cNvSpPr>
      </xdr:nvSpPr>
      <xdr:spPr>
        <a:xfrm>
          <a:off x="6381750" y="83439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55" name="Line 87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56" name="Line 88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57" name="Line 89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58" name="Line 90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59" name="Line 91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171450</xdr:rowOff>
    </xdr:from>
    <xdr:to>
      <xdr:col>13</xdr:col>
      <xdr:colOff>0</xdr:colOff>
      <xdr:row>35</xdr:row>
      <xdr:rowOff>171450</xdr:rowOff>
    </xdr:to>
    <xdr:sp>
      <xdr:nvSpPr>
        <xdr:cNvPr id="460" name="Line 92"/>
        <xdr:cNvSpPr>
          <a:spLocks/>
        </xdr:cNvSpPr>
      </xdr:nvSpPr>
      <xdr:spPr>
        <a:xfrm>
          <a:off x="6381750" y="8420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36</xdr:row>
      <xdr:rowOff>114300</xdr:rowOff>
    </xdr:from>
    <xdr:to>
      <xdr:col>21</xdr:col>
      <xdr:colOff>447675</xdr:colOff>
      <xdr:row>36</xdr:row>
      <xdr:rowOff>123825</xdr:rowOff>
    </xdr:to>
    <xdr:sp>
      <xdr:nvSpPr>
        <xdr:cNvPr id="461" name="Line 93"/>
        <xdr:cNvSpPr>
          <a:spLocks/>
        </xdr:cNvSpPr>
      </xdr:nvSpPr>
      <xdr:spPr>
        <a:xfrm>
          <a:off x="4524375" y="8610600"/>
          <a:ext cx="60388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142875</xdr:rowOff>
    </xdr:from>
    <xdr:to>
      <xdr:col>14</xdr:col>
      <xdr:colOff>0</xdr:colOff>
      <xdr:row>36</xdr:row>
      <xdr:rowOff>142875</xdr:rowOff>
    </xdr:to>
    <xdr:sp>
      <xdr:nvSpPr>
        <xdr:cNvPr id="462" name="Line 94"/>
        <xdr:cNvSpPr>
          <a:spLocks/>
        </xdr:cNvSpPr>
      </xdr:nvSpPr>
      <xdr:spPr>
        <a:xfrm>
          <a:off x="6848475" y="8639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142875</xdr:rowOff>
    </xdr:from>
    <xdr:to>
      <xdr:col>13</xdr:col>
      <xdr:colOff>0</xdr:colOff>
      <xdr:row>36</xdr:row>
      <xdr:rowOff>142875</xdr:rowOff>
    </xdr:to>
    <xdr:sp>
      <xdr:nvSpPr>
        <xdr:cNvPr id="463" name="Line 95"/>
        <xdr:cNvSpPr>
          <a:spLocks/>
        </xdr:cNvSpPr>
      </xdr:nvSpPr>
      <xdr:spPr>
        <a:xfrm>
          <a:off x="6381750" y="8639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142875</xdr:rowOff>
    </xdr:from>
    <xdr:to>
      <xdr:col>14</xdr:col>
      <xdr:colOff>0</xdr:colOff>
      <xdr:row>36</xdr:row>
      <xdr:rowOff>142875</xdr:rowOff>
    </xdr:to>
    <xdr:sp>
      <xdr:nvSpPr>
        <xdr:cNvPr id="464" name="Line 96"/>
        <xdr:cNvSpPr>
          <a:spLocks/>
        </xdr:cNvSpPr>
      </xdr:nvSpPr>
      <xdr:spPr>
        <a:xfrm>
          <a:off x="6848475" y="8639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123825</xdr:rowOff>
    </xdr:from>
    <xdr:to>
      <xdr:col>13</xdr:col>
      <xdr:colOff>0</xdr:colOff>
      <xdr:row>36</xdr:row>
      <xdr:rowOff>133350</xdr:rowOff>
    </xdr:to>
    <xdr:sp>
      <xdr:nvSpPr>
        <xdr:cNvPr id="465" name="Line 97"/>
        <xdr:cNvSpPr>
          <a:spLocks/>
        </xdr:cNvSpPr>
      </xdr:nvSpPr>
      <xdr:spPr>
        <a:xfrm flipV="1">
          <a:off x="6381750" y="86201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95250</xdr:rowOff>
    </xdr:from>
    <xdr:to>
      <xdr:col>13</xdr:col>
      <xdr:colOff>0</xdr:colOff>
      <xdr:row>36</xdr:row>
      <xdr:rowOff>104775</xdr:rowOff>
    </xdr:to>
    <xdr:sp>
      <xdr:nvSpPr>
        <xdr:cNvPr id="466" name="Line 98"/>
        <xdr:cNvSpPr>
          <a:spLocks/>
        </xdr:cNvSpPr>
      </xdr:nvSpPr>
      <xdr:spPr>
        <a:xfrm>
          <a:off x="6381750" y="85915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67" name="Line 99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68" name="Line 100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69" name="Line 101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70" name="Line 102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71" name="Line 103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171450</xdr:rowOff>
    </xdr:from>
    <xdr:to>
      <xdr:col>13</xdr:col>
      <xdr:colOff>0</xdr:colOff>
      <xdr:row>36</xdr:row>
      <xdr:rowOff>171450</xdr:rowOff>
    </xdr:to>
    <xdr:sp>
      <xdr:nvSpPr>
        <xdr:cNvPr id="472" name="Line 104"/>
        <xdr:cNvSpPr>
          <a:spLocks/>
        </xdr:cNvSpPr>
      </xdr:nvSpPr>
      <xdr:spPr>
        <a:xfrm>
          <a:off x="6381750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104775</xdr:rowOff>
    </xdr:from>
    <xdr:to>
      <xdr:col>23</xdr:col>
      <xdr:colOff>457200</xdr:colOff>
      <xdr:row>38</xdr:row>
      <xdr:rowOff>123825</xdr:rowOff>
    </xdr:to>
    <xdr:sp>
      <xdr:nvSpPr>
        <xdr:cNvPr id="473" name="Line 105"/>
        <xdr:cNvSpPr>
          <a:spLocks/>
        </xdr:cNvSpPr>
      </xdr:nvSpPr>
      <xdr:spPr>
        <a:xfrm>
          <a:off x="6848475" y="9096375"/>
          <a:ext cx="46577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104775</xdr:rowOff>
    </xdr:from>
    <xdr:to>
      <xdr:col>23</xdr:col>
      <xdr:colOff>457200</xdr:colOff>
      <xdr:row>39</xdr:row>
      <xdr:rowOff>123825</xdr:rowOff>
    </xdr:to>
    <xdr:sp>
      <xdr:nvSpPr>
        <xdr:cNvPr id="474" name="Line 106"/>
        <xdr:cNvSpPr>
          <a:spLocks/>
        </xdr:cNvSpPr>
      </xdr:nvSpPr>
      <xdr:spPr>
        <a:xfrm>
          <a:off x="6848475" y="9344025"/>
          <a:ext cx="46577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104775</xdr:rowOff>
    </xdr:from>
    <xdr:to>
      <xdr:col>23</xdr:col>
      <xdr:colOff>457200</xdr:colOff>
      <xdr:row>40</xdr:row>
      <xdr:rowOff>123825</xdr:rowOff>
    </xdr:to>
    <xdr:sp>
      <xdr:nvSpPr>
        <xdr:cNvPr id="475" name="Line 107"/>
        <xdr:cNvSpPr>
          <a:spLocks/>
        </xdr:cNvSpPr>
      </xdr:nvSpPr>
      <xdr:spPr>
        <a:xfrm>
          <a:off x="6848475" y="9591675"/>
          <a:ext cx="46577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123825</xdr:rowOff>
    </xdr:from>
    <xdr:to>
      <xdr:col>23</xdr:col>
      <xdr:colOff>9525</xdr:colOff>
      <xdr:row>53</xdr:row>
      <xdr:rowOff>152400</xdr:rowOff>
    </xdr:to>
    <xdr:sp>
      <xdr:nvSpPr>
        <xdr:cNvPr id="476" name="Line 108"/>
        <xdr:cNvSpPr>
          <a:spLocks/>
        </xdr:cNvSpPr>
      </xdr:nvSpPr>
      <xdr:spPr>
        <a:xfrm flipV="1">
          <a:off x="9182100" y="12411075"/>
          <a:ext cx="1876425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123825</xdr:rowOff>
    </xdr:from>
    <xdr:to>
      <xdr:col>23</xdr:col>
      <xdr:colOff>9525</xdr:colOff>
      <xdr:row>54</xdr:row>
      <xdr:rowOff>152400</xdr:rowOff>
    </xdr:to>
    <xdr:sp>
      <xdr:nvSpPr>
        <xdr:cNvPr id="477" name="Line 109"/>
        <xdr:cNvSpPr>
          <a:spLocks/>
        </xdr:cNvSpPr>
      </xdr:nvSpPr>
      <xdr:spPr>
        <a:xfrm flipV="1">
          <a:off x="9182100" y="12658725"/>
          <a:ext cx="1876425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447675</xdr:colOff>
      <xdr:row>73</xdr:row>
      <xdr:rowOff>133350</xdr:rowOff>
    </xdr:from>
    <xdr:to>
      <xdr:col>25</xdr:col>
      <xdr:colOff>457200</xdr:colOff>
      <xdr:row>73</xdr:row>
      <xdr:rowOff>142875</xdr:rowOff>
    </xdr:to>
    <xdr:sp>
      <xdr:nvSpPr>
        <xdr:cNvPr id="478" name="Line 112"/>
        <xdr:cNvSpPr>
          <a:spLocks/>
        </xdr:cNvSpPr>
      </xdr:nvSpPr>
      <xdr:spPr>
        <a:xfrm>
          <a:off x="3095625" y="17373600"/>
          <a:ext cx="93440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133350</xdr:rowOff>
    </xdr:from>
    <xdr:to>
      <xdr:col>25</xdr:col>
      <xdr:colOff>447675</xdr:colOff>
      <xdr:row>75</xdr:row>
      <xdr:rowOff>142875</xdr:rowOff>
    </xdr:to>
    <xdr:sp>
      <xdr:nvSpPr>
        <xdr:cNvPr id="479" name="Line 114"/>
        <xdr:cNvSpPr>
          <a:spLocks/>
        </xdr:cNvSpPr>
      </xdr:nvSpPr>
      <xdr:spPr>
        <a:xfrm flipV="1">
          <a:off x="3124200" y="17868900"/>
          <a:ext cx="9305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69</xdr:row>
      <xdr:rowOff>104775</xdr:rowOff>
    </xdr:from>
    <xdr:to>
      <xdr:col>22</xdr:col>
      <xdr:colOff>438150</xdr:colOff>
      <xdr:row>69</xdr:row>
      <xdr:rowOff>114300</xdr:rowOff>
    </xdr:to>
    <xdr:sp>
      <xdr:nvSpPr>
        <xdr:cNvPr id="480" name="Line 133"/>
        <xdr:cNvSpPr>
          <a:spLocks/>
        </xdr:cNvSpPr>
      </xdr:nvSpPr>
      <xdr:spPr>
        <a:xfrm>
          <a:off x="5905500" y="1635442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59</xdr:row>
      <xdr:rowOff>104775</xdr:rowOff>
    </xdr:from>
    <xdr:to>
      <xdr:col>16</xdr:col>
      <xdr:colOff>457200</xdr:colOff>
      <xdr:row>59</xdr:row>
      <xdr:rowOff>114300</xdr:rowOff>
    </xdr:to>
    <xdr:sp>
      <xdr:nvSpPr>
        <xdr:cNvPr id="481" name="Line 134"/>
        <xdr:cNvSpPr>
          <a:spLocks/>
        </xdr:cNvSpPr>
      </xdr:nvSpPr>
      <xdr:spPr>
        <a:xfrm>
          <a:off x="5905500" y="13877925"/>
          <a:ext cx="23336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60</xdr:row>
      <xdr:rowOff>104775</xdr:rowOff>
    </xdr:from>
    <xdr:to>
      <xdr:col>16</xdr:col>
      <xdr:colOff>447675</xdr:colOff>
      <xdr:row>60</xdr:row>
      <xdr:rowOff>114300</xdr:rowOff>
    </xdr:to>
    <xdr:sp>
      <xdr:nvSpPr>
        <xdr:cNvPr id="482" name="Line 135"/>
        <xdr:cNvSpPr>
          <a:spLocks/>
        </xdr:cNvSpPr>
      </xdr:nvSpPr>
      <xdr:spPr>
        <a:xfrm>
          <a:off x="5905500" y="14125575"/>
          <a:ext cx="23241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104775</xdr:rowOff>
    </xdr:from>
    <xdr:to>
      <xdr:col>22</xdr:col>
      <xdr:colOff>438150</xdr:colOff>
      <xdr:row>61</xdr:row>
      <xdr:rowOff>114300</xdr:rowOff>
    </xdr:to>
    <xdr:sp>
      <xdr:nvSpPr>
        <xdr:cNvPr id="483" name="Line 136"/>
        <xdr:cNvSpPr>
          <a:spLocks/>
        </xdr:cNvSpPr>
      </xdr:nvSpPr>
      <xdr:spPr>
        <a:xfrm>
          <a:off x="9182100" y="14373225"/>
          <a:ext cx="18383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95250</xdr:rowOff>
    </xdr:from>
    <xdr:to>
      <xdr:col>22</xdr:col>
      <xdr:colOff>438150</xdr:colOff>
      <xdr:row>62</xdr:row>
      <xdr:rowOff>114300</xdr:rowOff>
    </xdr:to>
    <xdr:sp>
      <xdr:nvSpPr>
        <xdr:cNvPr id="484" name="Line 137"/>
        <xdr:cNvSpPr>
          <a:spLocks/>
        </xdr:cNvSpPr>
      </xdr:nvSpPr>
      <xdr:spPr>
        <a:xfrm>
          <a:off x="9182100" y="14611350"/>
          <a:ext cx="183832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63</xdr:row>
      <xdr:rowOff>104775</xdr:rowOff>
    </xdr:from>
    <xdr:to>
      <xdr:col>22</xdr:col>
      <xdr:colOff>438150</xdr:colOff>
      <xdr:row>63</xdr:row>
      <xdr:rowOff>114300</xdr:rowOff>
    </xdr:to>
    <xdr:sp>
      <xdr:nvSpPr>
        <xdr:cNvPr id="485" name="Line 138"/>
        <xdr:cNvSpPr>
          <a:spLocks/>
        </xdr:cNvSpPr>
      </xdr:nvSpPr>
      <xdr:spPr>
        <a:xfrm>
          <a:off x="5905500" y="1486852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64</xdr:row>
      <xdr:rowOff>104775</xdr:rowOff>
    </xdr:from>
    <xdr:to>
      <xdr:col>22</xdr:col>
      <xdr:colOff>438150</xdr:colOff>
      <xdr:row>64</xdr:row>
      <xdr:rowOff>114300</xdr:rowOff>
    </xdr:to>
    <xdr:sp>
      <xdr:nvSpPr>
        <xdr:cNvPr id="486" name="Line 139"/>
        <xdr:cNvSpPr>
          <a:spLocks/>
        </xdr:cNvSpPr>
      </xdr:nvSpPr>
      <xdr:spPr>
        <a:xfrm>
          <a:off x="5905500" y="1511617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65</xdr:row>
      <xdr:rowOff>104775</xdr:rowOff>
    </xdr:from>
    <xdr:to>
      <xdr:col>22</xdr:col>
      <xdr:colOff>438150</xdr:colOff>
      <xdr:row>65</xdr:row>
      <xdr:rowOff>114300</xdr:rowOff>
    </xdr:to>
    <xdr:sp>
      <xdr:nvSpPr>
        <xdr:cNvPr id="487" name="Line 142"/>
        <xdr:cNvSpPr>
          <a:spLocks/>
        </xdr:cNvSpPr>
      </xdr:nvSpPr>
      <xdr:spPr>
        <a:xfrm>
          <a:off x="5905500" y="1536382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457200</xdr:colOff>
      <xdr:row>70</xdr:row>
      <xdr:rowOff>104775</xdr:rowOff>
    </xdr:from>
    <xdr:to>
      <xdr:col>22</xdr:col>
      <xdr:colOff>438150</xdr:colOff>
      <xdr:row>70</xdr:row>
      <xdr:rowOff>114300</xdr:rowOff>
    </xdr:to>
    <xdr:sp>
      <xdr:nvSpPr>
        <xdr:cNvPr id="488" name="Line 143"/>
        <xdr:cNvSpPr>
          <a:spLocks/>
        </xdr:cNvSpPr>
      </xdr:nvSpPr>
      <xdr:spPr>
        <a:xfrm>
          <a:off x="5905500" y="16602075"/>
          <a:ext cx="5114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0</xdr:colOff>
      <xdr:row>66</xdr:row>
      <xdr:rowOff>142875</xdr:rowOff>
    </xdr:from>
    <xdr:to>
      <xdr:col>25</xdr:col>
      <xdr:colOff>0</xdr:colOff>
      <xdr:row>66</xdr:row>
      <xdr:rowOff>152400</xdr:rowOff>
    </xdr:to>
    <xdr:sp>
      <xdr:nvSpPr>
        <xdr:cNvPr id="489" name="Line 144"/>
        <xdr:cNvSpPr>
          <a:spLocks/>
        </xdr:cNvSpPr>
      </xdr:nvSpPr>
      <xdr:spPr>
        <a:xfrm flipV="1">
          <a:off x="10115550" y="1564957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0</xdr:colOff>
      <xdr:row>67</xdr:row>
      <xdr:rowOff>142875</xdr:rowOff>
    </xdr:from>
    <xdr:to>
      <xdr:col>25</xdr:col>
      <xdr:colOff>0</xdr:colOff>
      <xdr:row>67</xdr:row>
      <xdr:rowOff>152400</xdr:rowOff>
    </xdr:to>
    <xdr:sp>
      <xdr:nvSpPr>
        <xdr:cNvPr id="490" name="Line 145"/>
        <xdr:cNvSpPr>
          <a:spLocks/>
        </xdr:cNvSpPr>
      </xdr:nvSpPr>
      <xdr:spPr>
        <a:xfrm flipV="1">
          <a:off x="10115550" y="1589722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0</xdr:colOff>
      <xdr:row>68</xdr:row>
      <xdr:rowOff>142875</xdr:rowOff>
    </xdr:from>
    <xdr:to>
      <xdr:col>25</xdr:col>
      <xdr:colOff>0</xdr:colOff>
      <xdr:row>68</xdr:row>
      <xdr:rowOff>152400</xdr:rowOff>
    </xdr:to>
    <xdr:sp>
      <xdr:nvSpPr>
        <xdr:cNvPr id="491" name="Line 146"/>
        <xdr:cNvSpPr>
          <a:spLocks/>
        </xdr:cNvSpPr>
      </xdr:nvSpPr>
      <xdr:spPr>
        <a:xfrm flipV="1">
          <a:off x="10115550" y="16144875"/>
          <a:ext cx="18669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962025" y="904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180975</xdr:rowOff>
    </xdr:from>
    <xdr:to>
      <xdr:col>1</xdr:col>
      <xdr:colOff>0</xdr:colOff>
      <xdr:row>6</xdr:row>
      <xdr:rowOff>180975</xdr:rowOff>
    </xdr:to>
    <xdr:sp>
      <xdr:nvSpPr>
        <xdr:cNvPr id="9" name="Line 9"/>
        <xdr:cNvSpPr>
          <a:spLocks/>
        </xdr:cNvSpPr>
      </xdr:nvSpPr>
      <xdr:spPr>
        <a:xfrm>
          <a:off x="962025" y="1266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161925</xdr:rowOff>
    </xdr:from>
    <xdr:to>
      <xdr:col>1</xdr:col>
      <xdr:colOff>0</xdr:colOff>
      <xdr:row>15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962025" y="287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180975</xdr:rowOff>
    </xdr:from>
    <xdr:to>
      <xdr:col>1</xdr:col>
      <xdr:colOff>0</xdr:colOff>
      <xdr:row>16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962025" y="307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22" name="Line 22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0</xdr:colOff>
      <xdr:row>5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962025" y="106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36" name="Line 36"/>
        <xdr:cNvSpPr>
          <a:spLocks/>
        </xdr:cNvSpPr>
      </xdr:nvSpPr>
      <xdr:spPr>
        <a:xfrm flipV="1"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52" name="Line 52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56" name="Line 56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57" name="Line 57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161925</xdr:rowOff>
    </xdr:from>
    <xdr:to>
      <xdr:col>1</xdr:col>
      <xdr:colOff>0</xdr:colOff>
      <xdr:row>15</xdr:row>
      <xdr:rowOff>161925</xdr:rowOff>
    </xdr:to>
    <xdr:sp>
      <xdr:nvSpPr>
        <xdr:cNvPr id="58" name="Line 58"/>
        <xdr:cNvSpPr>
          <a:spLocks/>
        </xdr:cNvSpPr>
      </xdr:nvSpPr>
      <xdr:spPr>
        <a:xfrm>
          <a:off x="962025" y="287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59" name="Line 59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60" name="Line 60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2" name="Line 6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3" name="Line 6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4" name="Line 6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5" name="Line 6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68" name="Line 68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69" name="Line 69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70" name="Line 70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71" name="Line 71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72" name="Line 72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73" name="Line 73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4" name="Line 7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75" name="Line 75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76" name="Line 76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1</xdr:col>
      <xdr:colOff>0</xdr:colOff>
      <xdr:row>3</xdr:row>
      <xdr:rowOff>171450</xdr:rowOff>
    </xdr:to>
    <xdr:sp>
      <xdr:nvSpPr>
        <xdr:cNvPr id="77" name="Line 77"/>
        <xdr:cNvSpPr>
          <a:spLocks/>
        </xdr:cNvSpPr>
      </xdr:nvSpPr>
      <xdr:spPr>
        <a:xfrm flipV="1">
          <a:off x="962025" y="7143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78" name="Line 78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1</xdr:col>
      <xdr:colOff>0</xdr:colOff>
      <xdr:row>4</xdr:row>
      <xdr:rowOff>171450</xdr:rowOff>
    </xdr:to>
    <xdr:sp>
      <xdr:nvSpPr>
        <xdr:cNvPr id="80" name="Line 80"/>
        <xdr:cNvSpPr>
          <a:spLocks/>
        </xdr:cNvSpPr>
      </xdr:nvSpPr>
      <xdr:spPr>
        <a:xfrm flipV="1">
          <a:off x="962025" y="8953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1</xdr:col>
      <xdr:colOff>0</xdr:colOff>
      <xdr:row>6</xdr:row>
      <xdr:rowOff>161925</xdr:rowOff>
    </xdr:to>
    <xdr:sp>
      <xdr:nvSpPr>
        <xdr:cNvPr id="81" name="Line 81"/>
        <xdr:cNvSpPr>
          <a:spLocks/>
        </xdr:cNvSpPr>
      </xdr:nvSpPr>
      <xdr:spPr>
        <a:xfrm>
          <a:off x="962025" y="124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180975</xdr:rowOff>
    </xdr:from>
    <xdr:to>
      <xdr:col>1</xdr:col>
      <xdr:colOff>0</xdr:colOff>
      <xdr:row>7</xdr:row>
      <xdr:rowOff>180975</xdr:rowOff>
    </xdr:to>
    <xdr:sp>
      <xdr:nvSpPr>
        <xdr:cNvPr id="82" name="Line 82"/>
        <xdr:cNvSpPr>
          <a:spLocks/>
        </xdr:cNvSpPr>
      </xdr:nvSpPr>
      <xdr:spPr>
        <a:xfrm>
          <a:off x="962025" y="1447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0</xdr:colOff>
      <xdr:row>9</xdr:row>
      <xdr:rowOff>161925</xdr:rowOff>
    </xdr:to>
    <xdr:sp>
      <xdr:nvSpPr>
        <xdr:cNvPr id="83" name="Line 83"/>
        <xdr:cNvSpPr>
          <a:spLocks/>
        </xdr:cNvSpPr>
      </xdr:nvSpPr>
      <xdr:spPr>
        <a:xfrm>
          <a:off x="962025" y="179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84" name="Line 84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161925</xdr:rowOff>
    </xdr:from>
    <xdr:to>
      <xdr:col>1</xdr:col>
      <xdr:colOff>0</xdr:colOff>
      <xdr:row>11</xdr:row>
      <xdr:rowOff>161925</xdr:rowOff>
    </xdr:to>
    <xdr:sp>
      <xdr:nvSpPr>
        <xdr:cNvPr id="85" name="Line 85"/>
        <xdr:cNvSpPr>
          <a:spLocks/>
        </xdr:cNvSpPr>
      </xdr:nvSpPr>
      <xdr:spPr>
        <a:xfrm>
          <a:off x="962025" y="215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161925</xdr:rowOff>
    </xdr:from>
    <xdr:to>
      <xdr:col>1</xdr:col>
      <xdr:colOff>0</xdr:colOff>
      <xdr:row>13</xdr:row>
      <xdr:rowOff>161925</xdr:rowOff>
    </xdr:to>
    <xdr:sp>
      <xdr:nvSpPr>
        <xdr:cNvPr id="86" name="Line 86"/>
        <xdr:cNvSpPr>
          <a:spLocks/>
        </xdr:cNvSpPr>
      </xdr:nvSpPr>
      <xdr:spPr>
        <a:xfrm>
          <a:off x="962025" y="251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7" name="Line 8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8" name="Line 8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9" name="Line 8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0" name="Line 9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1" name="Line 9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2" name="Line 9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3" name="Line 9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4" name="Line 9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5" name="Line 9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7" name="Line 9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8" name="Line 9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9" name="Line 9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0" name="Line 11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1" name="Line 11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2" name="Line 11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3" name="Line 11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128" name="Line 128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129" name="Line 129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130" name="Line 130"/>
        <xdr:cNvSpPr>
          <a:spLocks/>
        </xdr:cNvSpPr>
      </xdr:nvSpPr>
      <xdr:spPr>
        <a:xfrm flipV="1">
          <a:off x="962025" y="904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180975</xdr:rowOff>
    </xdr:from>
    <xdr:to>
      <xdr:col>1</xdr:col>
      <xdr:colOff>0</xdr:colOff>
      <xdr:row>6</xdr:row>
      <xdr:rowOff>180975</xdr:rowOff>
    </xdr:to>
    <xdr:sp>
      <xdr:nvSpPr>
        <xdr:cNvPr id="131" name="Line 131"/>
        <xdr:cNvSpPr>
          <a:spLocks/>
        </xdr:cNvSpPr>
      </xdr:nvSpPr>
      <xdr:spPr>
        <a:xfrm>
          <a:off x="962025" y="1266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132" name="Line 132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161925</xdr:rowOff>
    </xdr:from>
    <xdr:to>
      <xdr:col>1</xdr:col>
      <xdr:colOff>0</xdr:colOff>
      <xdr:row>15</xdr:row>
      <xdr:rowOff>161925</xdr:rowOff>
    </xdr:to>
    <xdr:sp>
      <xdr:nvSpPr>
        <xdr:cNvPr id="134" name="Line 134"/>
        <xdr:cNvSpPr>
          <a:spLocks/>
        </xdr:cNvSpPr>
      </xdr:nvSpPr>
      <xdr:spPr>
        <a:xfrm>
          <a:off x="962025" y="287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180975</xdr:rowOff>
    </xdr:from>
    <xdr:to>
      <xdr:col>1</xdr:col>
      <xdr:colOff>0</xdr:colOff>
      <xdr:row>16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962025" y="307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36" name="Line 136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137" name="Line 137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138" name="Line 138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143" name="Line 143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144" name="Line 144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0</xdr:colOff>
      <xdr:row>5</xdr:row>
      <xdr:rowOff>161925</xdr:rowOff>
    </xdr:to>
    <xdr:sp>
      <xdr:nvSpPr>
        <xdr:cNvPr id="148" name="Line 148"/>
        <xdr:cNvSpPr>
          <a:spLocks/>
        </xdr:cNvSpPr>
      </xdr:nvSpPr>
      <xdr:spPr>
        <a:xfrm flipV="1">
          <a:off x="962025" y="106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4" name="Line 154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58" name="Line 158"/>
        <xdr:cNvSpPr>
          <a:spLocks/>
        </xdr:cNvSpPr>
      </xdr:nvSpPr>
      <xdr:spPr>
        <a:xfrm flipV="1"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174" name="Line 174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177" name="Line 177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178" name="Line 178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179" name="Line 179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161925</xdr:rowOff>
    </xdr:from>
    <xdr:to>
      <xdr:col>1</xdr:col>
      <xdr:colOff>0</xdr:colOff>
      <xdr:row>15</xdr:row>
      <xdr:rowOff>161925</xdr:rowOff>
    </xdr:to>
    <xdr:sp>
      <xdr:nvSpPr>
        <xdr:cNvPr id="180" name="Line 180"/>
        <xdr:cNvSpPr>
          <a:spLocks/>
        </xdr:cNvSpPr>
      </xdr:nvSpPr>
      <xdr:spPr>
        <a:xfrm>
          <a:off x="962025" y="2876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81" name="Line 181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182" name="Line 182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183" name="Line 183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188" name="Line 188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189" name="Line 189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12</xdr:row>
      <xdr:rowOff>180975</xdr:rowOff>
    </xdr:to>
    <xdr:sp>
      <xdr:nvSpPr>
        <xdr:cNvPr id="190" name="Line 190"/>
        <xdr:cNvSpPr>
          <a:spLocks/>
        </xdr:cNvSpPr>
      </xdr:nvSpPr>
      <xdr:spPr>
        <a:xfrm>
          <a:off x="962025" y="2352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191" name="Line 191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0</xdr:colOff>
      <xdr:row>3</xdr:row>
      <xdr:rowOff>161925</xdr:rowOff>
    </xdr:to>
    <xdr:sp>
      <xdr:nvSpPr>
        <xdr:cNvPr id="192" name="Line 192"/>
        <xdr:cNvSpPr>
          <a:spLocks/>
        </xdr:cNvSpPr>
      </xdr:nvSpPr>
      <xdr:spPr>
        <a:xfrm>
          <a:off x="962025" y="70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</xdr:col>
      <xdr:colOff>0</xdr:colOff>
      <xdr:row>9</xdr:row>
      <xdr:rowOff>180975</xdr:rowOff>
    </xdr:to>
    <xdr:sp>
      <xdr:nvSpPr>
        <xdr:cNvPr id="193" name="Line 193"/>
        <xdr:cNvSpPr>
          <a:spLocks/>
        </xdr:cNvSpPr>
      </xdr:nvSpPr>
      <xdr:spPr>
        <a:xfrm flipV="1">
          <a:off x="962025" y="1809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</xdr:col>
      <xdr:colOff>0</xdr:colOff>
      <xdr:row>8</xdr:row>
      <xdr:rowOff>180975</xdr:rowOff>
    </xdr:to>
    <xdr:sp>
      <xdr:nvSpPr>
        <xdr:cNvPr id="194" name="Line 194"/>
        <xdr:cNvSpPr>
          <a:spLocks/>
        </xdr:cNvSpPr>
      </xdr:nvSpPr>
      <xdr:spPr>
        <a:xfrm>
          <a:off x="962025" y="1628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195" name="Line 195"/>
        <xdr:cNvSpPr>
          <a:spLocks/>
        </xdr:cNvSpPr>
      </xdr:nvSpPr>
      <xdr:spPr>
        <a:xfrm>
          <a:off x="962025" y="142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197" name="Line 197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180975</xdr:rowOff>
    </xdr:from>
    <xdr:to>
      <xdr:col>1</xdr:col>
      <xdr:colOff>0</xdr:colOff>
      <xdr:row>11</xdr:row>
      <xdr:rowOff>180975</xdr:rowOff>
    </xdr:to>
    <xdr:sp>
      <xdr:nvSpPr>
        <xdr:cNvPr id="198" name="Line 198"/>
        <xdr:cNvSpPr>
          <a:spLocks/>
        </xdr:cNvSpPr>
      </xdr:nvSpPr>
      <xdr:spPr>
        <a:xfrm>
          <a:off x="962025" y="2171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1</xdr:col>
      <xdr:colOff>0</xdr:colOff>
      <xdr:row>3</xdr:row>
      <xdr:rowOff>171450</xdr:rowOff>
    </xdr:to>
    <xdr:sp>
      <xdr:nvSpPr>
        <xdr:cNvPr id="199" name="Line 199"/>
        <xdr:cNvSpPr>
          <a:spLocks/>
        </xdr:cNvSpPr>
      </xdr:nvSpPr>
      <xdr:spPr>
        <a:xfrm flipV="1">
          <a:off x="962025" y="7143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200" name="Line 200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180975</xdr:rowOff>
    </xdr:from>
    <xdr:to>
      <xdr:col>1</xdr:col>
      <xdr:colOff>0</xdr:colOff>
      <xdr:row>5</xdr:row>
      <xdr:rowOff>180975</xdr:rowOff>
    </xdr:to>
    <xdr:sp>
      <xdr:nvSpPr>
        <xdr:cNvPr id="201" name="Line 201"/>
        <xdr:cNvSpPr>
          <a:spLocks/>
        </xdr:cNvSpPr>
      </xdr:nvSpPr>
      <xdr:spPr>
        <a:xfrm>
          <a:off x="962025" y="1085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1</xdr:col>
      <xdr:colOff>0</xdr:colOff>
      <xdr:row>4</xdr:row>
      <xdr:rowOff>171450</xdr:rowOff>
    </xdr:to>
    <xdr:sp>
      <xdr:nvSpPr>
        <xdr:cNvPr id="202" name="Line 202"/>
        <xdr:cNvSpPr>
          <a:spLocks/>
        </xdr:cNvSpPr>
      </xdr:nvSpPr>
      <xdr:spPr>
        <a:xfrm flipV="1">
          <a:off x="962025" y="8953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1</xdr:col>
      <xdr:colOff>0</xdr:colOff>
      <xdr:row>6</xdr:row>
      <xdr:rowOff>161925</xdr:rowOff>
    </xdr:to>
    <xdr:sp>
      <xdr:nvSpPr>
        <xdr:cNvPr id="203" name="Line 203"/>
        <xdr:cNvSpPr>
          <a:spLocks/>
        </xdr:cNvSpPr>
      </xdr:nvSpPr>
      <xdr:spPr>
        <a:xfrm>
          <a:off x="962025" y="124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180975</xdr:rowOff>
    </xdr:from>
    <xdr:to>
      <xdr:col>1</xdr:col>
      <xdr:colOff>0</xdr:colOff>
      <xdr:row>7</xdr:row>
      <xdr:rowOff>180975</xdr:rowOff>
    </xdr:to>
    <xdr:sp>
      <xdr:nvSpPr>
        <xdr:cNvPr id="204" name="Line 204"/>
        <xdr:cNvSpPr>
          <a:spLocks/>
        </xdr:cNvSpPr>
      </xdr:nvSpPr>
      <xdr:spPr>
        <a:xfrm>
          <a:off x="962025" y="1447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0</xdr:colOff>
      <xdr:row>9</xdr:row>
      <xdr:rowOff>161925</xdr:rowOff>
    </xdr:to>
    <xdr:sp>
      <xdr:nvSpPr>
        <xdr:cNvPr id="205" name="Line 205"/>
        <xdr:cNvSpPr>
          <a:spLocks/>
        </xdr:cNvSpPr>
      </xdr:nvSpPr>
      <xdr:spPr>
        <a:xfrm>
          <a:off x="962025" y="179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10</xdr:row>
      <xdr:rowOff>180975</xdr:rowOff>
    </xdr:to>
    <xdr:sp>
      <xdr:nvSpPr>
        <xdr:cNvPr id="206" name="Line 206"/>
        <xdr:cNvSpPr>
          <a:spLocks/>
        </xdr:cNvSpPr>
      </xdr:nvSpPr>
      <xdr:spPr>
        <a:xfrm>
          <a:off x="962025" y="1990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161925</xdr:rowOff>
    </xdr:from>
    <xdr:to>
      <xdr:col>1</xdr:col>
      <xdr:colOff>0</xdr:colOff>
      <xdr:row>11</xdr:row>
      <xdr:rowOff>161925</xdr:rowOff>
    </xdr:to>
    <xdr:sp>
      <xdr:nvSpPr>
        <xdr:cNvPr id="207" name="Line 207"/>
        <xdr:cNvSpPr>
          <a:spLocks/>
        </xdr:cNvSpPr>
      </xdr:nvSpPr>
      <xdr:spPr>
        <a:xfrm>
          <a:off x="962025" y="215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161925</xdr:rowOff>
    </xdr:from>
    <xdr:to>
      <xdr:col>1</xdr:col>
      <xdr:colOff>0</xdr:colOff>
      <xdr:row>13</xdr:row>
      <xdr:rowOff>161925</xdr:rowOff>
    </xdr:to>
    <xdr:sp>
      <xdr:nvSpPr>
        <xdr:cNvPr id="208" name="Line 208"/>
        <xdr:cNvSpPr>
          <a:spLocks/>
        </xdr:cNvSpPr>
      </xdr:nvSpPr>
      <xdr:spPr>
        <a:xfrm>
          <a:off x="962025" y="251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2025" y="3619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250" name="Line 250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251" name="Line 251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180975</xdr:rowOff>
    </xdr:from>
    <xdr:to>
      <xdr:col>1</xdr:col>
      <xdr:colOff>0</xdr:colOff>
      <xdr:row>29</xdr:row>
      <xdr:rowOff>180975</xdr:rowOff>
    </xdr:to>
    <xdr:sp>
      <xdr:nvSpPr>
        <xdr:cNvPr id="252" name="Line 252"/>
        <xdr:cNvSpPr>
          <a:spLocks/>
        </xdr:cNvSpPr>
      </xdr:nvSpPr>
      <xdr:spPr>
        <a:xfrm flipV="1">
          <a:off x="962025" y="54292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180975</xdr:rowOff>
    </xdr:from>
    <xdr:to>
      <xdr:col>1</xdr:col>
      <xdr:colOff>0</xdr:colOff>
      <xdr:row>31</xdr:row>
      <xdr:rowOff>180975</xdr:rowOff>
    </xdr:to>
    <xdr:sp>
      <xdr:nvSpPr>
        <xdr:cNvPr id="253" name="Line 253"/>
        <xdr:cNvSpPr>
          <a:spLocks/>
        </xdr:cNvSpPr>
      </xdr:nvSpPr>
      <xdr:spPr>
        <a:xfrm>
          <a:off x="962025" y="57912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254" name="Line 254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256" name="Line 256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257" name="Line 257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258" name="Line 258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259" name="Line 259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260" name="Line 260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265" name="Line 265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266" name="Line 266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161925</xdr:rowOff>
    </xdr:from>
    <xdr:to>
      <xdr:col>1</xdr:col>
      <xdr:colOff>0</xdr:colOff>
      <xdr:row>30</xdr:row>
      <xdr:rowOff>161925</xdr:rowOff>
    </xdr:to>
    <xdr:sp>
      <xdr:nvSpPr>
        <xdr:cNvPr id="270" name="Line 270"/>
        <xdr:cNvSpPr>
          <a:spLocks/>
        </xdr:cNvSpPr>
      </xdr:nvSpPr>
      <xdr:spPr>
        <a:xfrm flipV="1">
          <a:off x="962025" y="5591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280" name="Line 280"/>
        <xdr:cNvSpPr>
          <a:spLocks/>
        </xdr:cNvSpPr>
      </xdr:nvSpPr>
      <xdr:spPr>
        <a:xfrm flipV="1"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295" name="Line 295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296" name="Line 296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300" name="Line 300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301" name="Line 301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302" name="Line 302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303" name="Line 303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304" name="Line 304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305" name="Line 305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310" name="Line 310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311" name="Line 311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312" name="Line 312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313" name="Line 313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314" name="Line 314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315" name="Line 315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316" name="Line 316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317" name="Line 317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319" name="Line 319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320" name="Line 320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171450</xdr:rowOff>
    </xdr:from>
    <xdr:to>
      <xdr:col>1</xdr:col>
      <xdr:colOff>0</xdr:colOff>
      <xdr:row>28</xdr:row>
      <xdr:rowOff>171450</xdr:rowOff>
    </xdr:to>
    <xdr:sp>
      <xdr:nvSpPr>
        <xdr:cNvPr id="321" name="Line 321"/>
        <xdr:cNvSpPr>
          <a:spLocks/>
        </xdr:cNvSpPr>
      </xdr:nvSpPr>
      <xdr:spPr>
        <a:xfrm flipV="1">
          <a:off x="962025" y="523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322" name="Line 322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323" name="Line 323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171450</xdr:rowOff>
    </xdr:from>
    <xdr:to>
      <xdr:col>1</xdr:col>
      <xdr:colOff>0</xdr:colOff>
      <xdr:row>29</xdr:row>
      <xdr:rowOff>171450</xdr:rowOff>
    </xdr:to>
    <xdr:sp>
      <xdr:nvSpPr>
        <xdr:cNvPr id="324" name="Line 324"/>
        <xdr:cNvSpPr>
          <a:spLocks/>
        </xdr:cNvSpPr>
      </xdr:nvSpPr>
      <xdr:spPr>
        <a:xfrm flipV="1">
          <a:off x="962025" y="541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0</xdr:colOff>
      <xdr:row>31</xdr:row>
      <xdr:rowOff>161925</xdr:rowOff>
    </xdr:to>
    <xdr:sp>
      <xdr:nvSpPr>
        <xdr:cNvPr id="325" name="Line 325"/>
        <xdr:cNvSpPr>
          <a:spLocks/>
        </xdr:cNvSpPr>
      </xdr:nvSpPr>
      <xdr:spPr>
        <a:xfrm>
          <a:off x="96202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180975</xdr:rowOff>
    </xdr:from>
    <xdr:to>
      <xdr:col>1</xdr:col>
      <xdr:colOff>0</xdr:colOff>
      <xdr:row>32</xdr:row>
      <xdr:rowOff>180975</xdr:rowOff>
    </xdr:to>
    <xdr:sp>
      <xdr:nvSpPr>
        <xdr:cNvPr id="326" name="Line 326"/>
        <xdr:cNvSpPr>
          <a:spLocks/>
        </xdr:cNvSpPr>
      </xdr:nvSpPr>
      <xdr:spPr>
        <a:xfrm>
          <a:off x="962025" y="5972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161925</xdr:rowOff>
    </xdr:from>
    <xdr:to>
      <xdr:col>1</xdr:col>
      <xdr:colOff>0</xdr:colOff>
      <xdr:row>34</xdr:row>
      <xdr:rowOff>161925</xdr:rowOff>
    </xdr:to>
    <xdr:sp>
      <xdr:nvSpPr>
        <xdr:cNvPr id="327" name="Line 327"/>
        <xdr:cNvSpPr>
          <a:spLocks/>
        </xdr:cNvSpPr>
      </xdr:nvSpPr>
      <xdr:spPr>
        <a:xfrm>
          <a:off x="962025" y="6315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328" name="Line 328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161925</xdr:rowOff>
    </xdr:from>
    <xdr:to>
      <xdr:col>1</xdr:col>
      <xdr:colOff>0</xdr:colOff>
      <xdr:row>36</xdr:row>
      <xdr:rowOff>161925</xdr:rowOff>
    </xdr:to>
    <xdr:sp>
      <xdr:nvSpPr>
        <xdr:cNvPr id="329" name="Line 329"/>
        <xdr:cNvSpPr>
          <a:spLocks/>
        </xdr:cNvSpPr>
      </xdr:nvSpPr>
      <xdr:spPr>
        <a:xfrm>
          <a:off x="962025" y="6677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0</xdr:colOff>
      <xdr:row>38</xdr:row>
      <xdr:rowOff>161925</xdr:rowOff>
    </xdr:to>
    <xdr:sp>
      <xdr:nvSpPr>
        <xdr:cNvPr id="330" name="Line 330"/>
        <xdr:cNvSpPr>
          <a:spLocks/>
        </xdr:cNvSpPr>
      </xdr:nvSpPr>
      <xdr:spPr>
        <a:xfrm>
          <a:off x="962025" y="7038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372" name="Line 372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373" name="Line 373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180975</xdr:rowOff>
    </xdr:from>
    <xdr:to>
      <xdr:col>1</xdr:col>
      <xdr:colOff>0</xdr:colOff>
      <xdr:row>29</xdr:row>
      <xdr:rowOff>180975</xdr:rowOff>
    </xdr:to>
    <xdr:sp>
      <xdr:nvSpPr>
        <xdr:cNvPr id="374" name="Line 374"/>
        <xdr:cNvSpPr>
          <a:spLocks/>
        </xdr:cNvSpPr>
      </xdr:nvSpPr>
      <xdr:spPr>
        <a:xfrm flipV="1">
          <a:off x="962025" y="54292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180975</xdr:rowOff>
    </xdr:from>
    <xdr:to>
      <xdr:col>1</xdr:col>
      <xdr:colOff>0</xdr:colOff>
      <xdr:row>31</xdr:row>
      <xdr:rowOff>180975</xdr:rowOff>
    </xdr:to>
    <xdr:sp>
      <xdr:nvSpPr>
        <xdr:cNvPr id="375" name="Line 375"/>
        <xdr:cNvSpPr>
          <a:spLocks/>
        </xdr:cNvSpPr>
      </xdr:nvSpPr>
      <xdr:spPr>
        <a:xfrm>
          <a:off x="962025" y="57912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376" name="Line 376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378" name="Line 378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379" name="Line 379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380" name="Line 380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381" name="Line 381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382" name="Line 382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387" name="Line 387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388" name="Line 388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161925</xdr:rowOff>
    </xdr:from>
    <xdr:to>
      <xdr:col>1</xdr:col>
      <xdr:colOff>0</xdr:colOff>
      <xdr:row>30</xdr:row>
      <xdr:rowOff>161925</xdr:rowOff>
    </xdr:to>
    <xdr:sp>
      <xdr:nvSpPr>
        <xdr:cNvPr id="392" name="Line 392"/>
        <xdr:cNvSpPr>
          <a:spLocks/>
        </xdr:cNvSpPr>
      </xdr:nvSpPr>
      <xdr:spPr>
        <a:xfrm flipV="1">
          <a:off x="962025" y="5591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402" name="Line 402"/>
        <xdr:cNvSpPr>
          <a:spLocks/>
        </xdr:cNvSpPr>
      </xdr:nvSpPr>
      <xdr:spPr>
        <a:xfrm flipV="1"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417" name="Line 417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418" name="Line 418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421" name="Line 421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422" name="Line 422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423" name="Line 423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424" name="Line 424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425" name="Line 425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426" name="Line 426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427" name="Line 427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432" name="Line 432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433" name="Line 433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1</xdr:col>
      <xdr:colOff>0</xdr:colOff>
      <xdr:row>37</xdr:row>
      <xdr:rowOff>180975</xdr:rowOff>
    </xdr:to>
    <xdr:sp>
      <xdr:nvSpPr>
        <xdr:cNvPr id="434" name="Line 434"/>
        <xdr:cNvSpPr>
          <a:spLocks/>
        </xdr:cNvSpPr>
      </xdr:nvSpPr>
      <xdr:spPr>
        <a:xfrm>
          <a:off x="962025" y="68770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435" name="Line 435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sp>
      <xdr:nvSpPr>
        <xdr:cNvPr id="436" name="Line 436"/>
        <xdr:cNvSpPr>
          <a:spLocks/>
        </xdr:cNvSpPr>
      </xdr:nvSpPr>
      <xdr:spPr>
        <a:xfrm>
          <a:off x="962025" y="52292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437" name="Line 437"/>
        <xdr:cNvSpPr>
          <a:spLocks/>
        </xdr:cNvSpPr>
      </xdr:nvSpPr>
      <xdr:spPr>
        <a:xfrm flipV="1">
          <a:off x="962025" y="6334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1</xdr:col>
      <xdr:colOff>0</xdr:colOff>
      <xdr:row>33</xdr:row>
      <xdr:rowOff>180975</xdr:rowOff>
    </xdr:to>
    <xdr:sp>
      <xdr:nvSpPr>
        <xdr:cNvPr id="438" name="Line 438"/>
        <xdr:cNvSpPr>
          <a:spLocks/>
        </xdr:cNvSpPr>
      </xdr:nvSpPr>
      <xdr:spPr>
        <a:xfrm>
          <a:off x="962025" y="6153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439" name="Line 439"/>
        <xdr:cNvSpPr>
          <a:spLocks/>
        </xdr:cNvSpPr>
      </xdr:nvSpPr>
      <xdr:spPr>
        <a:xfrm>
          <a:off x="962025" y="5953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441" name="Line 441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442" name="Line 442"/>
        <xdr:cNvSpPr>
          <a:spLocks/>
        </xdr:cNvSpPr>
      </xdr:nvSpPr>
      <xdr:spPr>
        <a:xfrm>
          <a:off x="962025" y="6696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171450</xdr:rowOff>
    </xdr:from>
    <xdr:to>
      <xdr:col>1</xdr:col>
      <xdr:colOff>0</xdr:colOff>
      <xdr:row>28</xdr:row>
      <xdr:rowOff>171450</xdr:rowOff>
    </xdr:to>
    <xdr:sp>
      <xdr:nvSpPr>
        <xdr:cNvPr id="443" name="Line 443"/>
        <xdr:cNvSpPr>
          <a:spLocks/>
        </xdr:cNvSpPr>
      </xdr:nvSpPr>
      <xdr:spPr>
        <a:xfrm flipV="1">
          <a:off x="962025" y="523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444" name="Line 444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180975</xdr:rowOff>
    </xdr:from>
    <xdr:to>
      <xdr:col>1</xdr:col>
      <xdr:colOff>0</xdr:colOff>
      <xdr:row>30</xdr:row>
      <xdr:rowOff>180975</xdr:rowOff>
    </xdr:to>
    <xdr:sp>
      <xdr:nvSpPr>
        <xdr:cNvPr id="445" name="Line 445"/>
        <xdr:cNvSpPr>
          <a:spLocks/>
        </xdr:cNvSpPr>
      </xdr:nvSpPr>
      <xdr:spPr>
        <a:xfrm>
          <a:off x="962025" y="561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171450</xdr:rowOff>
    </xdr:from>
    <xdr:to>
      <xdr:col>1</xdr:col>
      <xdr:colOff>0</xdr:colOff>
      <xdr:row>29</xdr:row>
      <xdr:rowOff>171450</xdr:rowOff>
    </xdr:to>
    <xdr:sp>
      <xdr:nvSpPr>
        <xdr:cNvPr id="446" name="Line 446"/>
        <xdr:cNvSpPr>
          <a:spLocks/>
        </xdr:cNvSpPr>
      </xdr:nvSpPr>
      <xdr:spPr>
        <a:xfrm flipV="1">
          <a:off x="962025" y="541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0</xdr:colOff>
      <xdr:row>31</xdr:row>
      <xdr:rowOff>161925</xdr:rowOff>
    </xdr:to>
    <xdr:sp>
      <xdr:nvSpPr>
        <xdr:cNvPr id="447" name="Line 447"/>
        <xdr:cNvSpPr>
          <a:spLocks/>
        </xdr:cNvSpPr>
      </xdr:nvSpPr>
      <xdr:spPr>
        <a:xfrm>
          <a:off x="962025" y="57721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180975</xdr:rowOff>
    </xdr:from>
    <xdr:to>
      <xdr:col>1</xdr:col>
      <xdr:colOff>0</xdr:colOff>
      <xdr:row>32</xdr:row>
      <xdr:rowOff>180975</xdr:rowOff>
    </xdr:to>
    <xdr:sp>
      <xdr:nvSpPr>
        <xdr:cNvPr id="448" name="Line 448"/>
        <xdr:cNvSpPr>
          <a:spLocks/>
        </xdr:cNvSpPr>
      </xdr:nvSpPr>
      <xdr:spPr>
        <a:xfrm>
          <a:off x="962025" y="59721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161925</xdr:rowOff>
    </xdr:from>
    <xdr:to>
      <xdr:col>1</xdr:col>
      <xdr:colOff>0</xdr:colOff>
      <xdr:row>34</xdr:row>
      <xdr:rowOff>161925</xdr:rowOff>
    </xdr:to>
    <xdr:sp>
      <xdr:nvSpPr>
        <xdr:cNvPr id="449" name="Line 449"/>
        <xdr:cNvSpPr>
          <a:spLocks/>
        </xdr:cNvSpPr>
      </xdr:nvSpPr>
      <xdr:spPr>
        <a:xfrm>
          <a:off x="962025" y="6315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1</xdr:col>
      <xdr:colOff>0</xdr:colOff>
      <xdr:row>35</xdr:row>
      <xdr:rowOff>180975</xdr:rowOff>
    </xdr:to>
    <xdr:sp>
      <xdr:nvSpPr>
        <xdr:cNvPr id="450" name="Line 450"/>
        <xdr:cNvSpPr>
          <a:spLocks/>
        </xdr:cNvSpPr>
      </xdr:nvSpPr>
      <xdr:spPr>
        <a:xfrm>
          <a:off x="962025" y="6515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161925</xdr:rowOff>
    </xdr:from>
    <xdr:to>
      <xdr:col>1</xdr:col>
      <xdr:colOff>0</xdr:colOff>
      <xdr:row>36</xdr:row>
      <xdr:rowOff>161925</xdr:rowOff>
    </xdr:to>
    <xdr:sp>
      <xdr:nvSpPr>
        <xdr:cNvPr id="451" name="Line 451"/>
        <xdr:cNvSpPr>
          <a:spLocks/>
        </xdr:cNvSpPr>
      </xdr:nvSpPr>
      <xdr:spPr>
        <a:xfrm>
          <a:off x="962025" y="6677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0</xdr:colOff>
      <xdr:row>38</xdr:row>
      <xdr:rowOff>161925</xdr:rowOff>
    </xdr:to>
    <xdr:sp>
      <xdr:nvSpPr>
        <xdr:cNvPr id="452" name="Line 452"/>
        <xdr:cNvSpPr>
          <a:spLocks/>
        </xdr:cNvSpPr>
      </xdr:nvSpPr>
      <xdr:spPr>
        <a:xfrm>
          <a:off x="962025" y="7038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sp>
      <xdr:nvSpPr>
        <xdr:cNvPr id="489" name="Line 489"/>
        <xdr:cNvSpPr>
          <a:spLocks/>
        </xdr:cNvSpPr>
      </xdr:nvSpPr>
      <xdr:spPr>
        <a:xfrm>
          <a:off x="962025" y="9391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sp>
      <xdr:nvSpPr>
        <xdr:cNvPr id="490" name="Line 490"/>
        <xdr:cNvSpPr>
          <a:spLocks/>
        </xdr:cNvSpPr>
      </xdr:nvSpPr>
      <xdr:spPr>
        <a:xfrm>
          <a:off x="962025" y="9391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sp>
      <xdr:nvSpPr>
        <xdr:cNvPr id="491" name="Line 491"/>
        <xdr:cNvSpPr>
          <a:spLocks/>
        </xdr:cNvSpPr>
      </xdr:nvSpPr>
      <xdr:spPr>
        <a:xfrm>
          <a:off x="962025" y="9391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sp>
      <xdr:nvSpPr>
        <xdr:cNvPr id="492" name="Line 492"/>
        <xdr:cNvSpPr>
          <a:spLocks/>
        </xdr:cNvSpPr>
      </xdr:nvSpPr>
      <xdr:spPr>
        <a:xfrm>
          <a:off x="962025" y="9391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3" name="Line 493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4" name="Line 494"/>
        <xdr:cNvSpPr>
          <a:spLocks/>
        </xdr:cNvSpPr>
      </xdr:nvSpPr>
      <xdr:spPr>
        <a:xfrm flipV="1"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5" name="Line 495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6" name="Line 496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7" name="Line 497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8" name="Line 498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499" name="Line 499"/>
        <xdr:cNvSpPr>
          <a:spLocks/>
        </xdr:cNvSpPr>
      </xdr:nvSpPr>
      <xdr:spPr>
        <a:xfrm flipV="1"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500" name="Line 500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501" name="Line 501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180975</xdr:rowOff>
    </xdr:from>
    <xdr:to>
      <xdr:col>1</xdr:col>
      <xdr:colOff>0</xdr:colOff>
      <xdr:row>38</xdr:row>
      <xdr:rowOff>180975</xdr:rowOff>
    </xdr:to>
    <xdr:sp>
      <xdr:nvSpPr>
        <xdr:cNvPr id="502" name="Line 502"/>
        <xdr:cNvSpPr>
          <a:spLocks/>
        </xdr:cNvSpPr>
      </xdr:nvSpPr>
      <xdr:spPr>
        <a:xfrm>
          <a:off x="962025" y="7058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3" name="Line 503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4" name="Line 504"/>
        <xdr:cNvSpPr>
          <a:spLocks/>
        </xdr:cNvSpPr>
      </xdr:nvSpPr>
      <xdr:spPr>
        <a:xfrm flipV="1"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5" name="Line 505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6" name="Line 506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7" name="Line 507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508" name="Line 508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09" name="Line 509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10" name="Line 510"/>
        <xdr:cNvSpPr>
          <a:spLocks/>
        </xdr:cNvSpPr>
      </xdr:nvSpPr>
      <xdr:spPr>
        <a:xfrm flipV="1"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11" name="Line 511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12" name="Line 512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0</xdr:colOff>
      <xdr:row>39</xdr:row>
      <xdr:rowOff>180975</xdr:rowOff>
    </xdr:to>
    <xdr:sp>
      <xdr:nvSpPr>
        <xdr:cNvPr id="513" name="Line 513"/>
        <xdr:cNvSpPr>
          <a:spLocks/>
        </xdr:cNvSpPr>
      </xdr:nvSpPr>
      <xdr:spPr>
        <a:xfrm>
          <a:off x="962025" y="7239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40</xdr:row>
      <xdr:rowOff>161925</xdr:rowOff>
    </xdr:to>
    <xdr:sp>
      <xdr:nvSpPr>
        <xdr:cNvPr id="514" name="Line 514"/>
        <xdr:cNvSpPr>
          <a:spLocks/>
        </xdr:cNvSpPr>
      </xdr:nvSpPr>
      <xdr:spPr>
        <a:xfrm>
          <a:off x="962025" y="7400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15" name="Line 515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16" name="Line 516"/>
        <xdr:cNvSpPr>
          <a:spLocks/>
        </xdr:cNvSpPr>
      </xdr:nvSpPr>
      <xdr:spPr>
        <a:xfrm flipV="1"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17" name="Line 517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18" name="Line 518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19" name="Line 519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20" name="Line 520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21" name="Line 521"/>
        <xdr:cNvSpPr>
          <a:spLocks/>
        </xdr:cNvSpPr>
      </xdr:nvSpPr>
      <xdr:spPr>
        <a:xfrm flipV="1"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22" name="Line 522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23" name="Line 523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180975</xdr:rowOff>
    </xdr:from>
    <xdr:to>
      <xdr:col>1</xdr:col>
      <xdr:colOff>0</xdr:colOff>
      <xdr:row>40</xdr:row>
      <xdr:rowOff>180975</xdr:rowOff>
    </xdr:to>
    <xdr:sp>
      <xdr:nvSpPr>
        <xdr:cNvPr id="524" name="Line 524"/>
        <xdr:cNvSpPr>
          <a:spLocks/>
        </xdr:cNvSpPr>
      </xdr:nvSpPr>
      <xdr:spPr>
        <a:xfrm>
          <a:off x="962025" y="74199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25" name="Line 525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26" name="Line 526"/>
        <xdr:cNvSpPr>
          <a:spLocks/>
        </xdr:cNvSpPr>
      </xdr:nvSpPr>
      <xdr:spPr>
        <a:xfrm flipV="1"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27" name="Line 527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28" name="Line 528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29" name="Line 529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530" name="Line 530"/>
        <xdr:cNvSpPr>
          <a:spLocks/>
        </xdr:cNvSpPr>
      </xdr:nvSpPr>
      <xdr:spPr>
        <a:xfrm>
          <a:off x="962025" y="9753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31" name="Line 531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32" name="Line 532"/>
        <xdr:cNvSpPr>
          <a:spLocks/>
        </xdr:cNvSpPr>
      </xdr:nvSpPr>
      <xdr:spPr>
        <a:xfrm flipV="1"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33" name="Line 533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34" name="Line 534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1</xdr:col>
      <xdr:colOff>0</xdr:colOff>
      <xdr:row>51</xdr:row>
      <xdr:rowOff>180975</xdr:rowOff>
    </xdr:to>
    <xdr:sp>
      <xdr:nvSpPr>
        <xdr:cNvPr id="535" name="Line 535"/>
        <xdr:cNvSpPr>
          <a:spLocks/>
        </xdr:cNvSpPr>
      </xdr:nvSpPr>
      <xdr:spPr>
        <a:xfrm>
          <a:off x="962025" y="9410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536" name="Line 536"/>
        <xdr:cNvSpPr>
          <a:spLocks/>
        </xdr:cNvSpPr>
      </xdr:nvSpPr>
      <xdr:spPr>
        <a:xfrm>
          <a:off x="962025" y="9753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37" name="Line 537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38" name="Line 538"/>
        <xdr:cNvSpPr>
          <a:spLocks/>
        </xdr:cNvSpPr>
      </xdr:nvSpPr>
      <xdr:spPr>
        <a:xfrm flipV="1"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39" name="Line 539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0" name="Line 540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1" name="Line 541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2" name="Line 542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3" name="Line 543"/>
        <xdr:cNvSpPr>
          <a:spLocks/>
        </xdr:cNvSpPr>
      </xdr:nvSpPr>
      <xdr:spPr>
        <a:xfrm flipV="1"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4" name="Line 544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5" name="Line 545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180975</xdr:rowOff>
    </xdr:from>
    <xdr:to>
      <xdr:col>1</xdr:col>
      <xdr:colOff>0</xdr:colOff>
      <xdr:row>53</xdr:row>
      <xdr:rowOff>180975</xdr:rowOff>
    </xdr:to>
    <xdr:sp>
      <xdr:nvSpPr>
        <xdr:cNvPr id="546" name="Line 546"/>
        <xdr:cNvSpPr>
          <a:spLocks/>
        </xdr:cNvSpPr>
      </xdr:nvSpPr>
      <xdr:spPr>
        <a:xfrm>
          <a:off x="962025" y="97726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47" name="Line 547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48" name="Line 548"/>
        <xdr:cNvSpPr>
          <a:spLocks/>
        </xdr:cNvSpPr>
      </xdr:nvSpPr>
      <xdr:spPr>
        <a:xfrm flipV="1"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49" name="Line 549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0" name="Line 550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1" name="Line 551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161925</xdr:rowOff>
    </xdr:from>
    <xdr:to>
      <xdr:col>1</xdr:col>
      <xdr:colOff>0</xdr:colOff>
      <xdr:row>55</xdr:row>
      <xdr:rowOff>161925</xdr:rowOff>
    </xdr:to>
    <xdr:sp>
      <xdr:nvSpPr>
        <xdr:cNvPr id="552" name="Line 552"/>
        <xdr:cNvSpPr>
          <a:spLocks/>
        </xdr:cNvSpPr>
      </xdr:nvSpPr>
      <xdr:spPr>
        <a:xfrm>
          <a:off x="962025" y="10115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3" name="Line 553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4" name="Line 554"/>
        <xdr:cNvSpPr>
          <a:spLocks/>
        </xdr:cNvSpPr>
      </xdr:nvSpPr>
      <xdr:spPr>
        <a:xfrm flipV="1"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5" name="Line 555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6" name="Line 556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180975</xdr:rowOff>
    </xdr:from>
    <xdr:to>
      <xdr:col>1</xdr:col>
      <xdr:colOff>0</xdr:colOff>
      <xdr:row>54</xdr:row>
      <xdr:rowOff>180975</xdr:rowOff>
    </xdr:to>
    <xdr:sp>
      <xdr:nvSpPr>
        <xdr:cNvPr id="557" name="Line 557"/>
        <xdr:cNvSpPr>
          <a:spLocks/>
        </xdr:cNvSpPr>
      </xdr:nvSpPr>
      <xdr:spPr>
        <a:xfrm>
          <a:off x="962025" y="99536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161925</xdr:rowOff>
    </xdr:from>
    <xdr:to>
      <xdr:col>1</xdr:col>
      <xdr:colOff>0</xdr:colOff>
      <xdr:row>55</xdr:row>
      <xdr:rowOff>161925</xdr:rowOff>
    </xdr:to>
    <xdr:sp>
      <xdr:nvSpPr>
        <xdr:cNvPr id="558" name="Line 558"/>
        <xdr:cNvSpPr>
          <a:spLocks/>
        </xdr:cNvSpPr>
      </xdr:nvSpPr>
      <xdr:spPr>
        <a:xfrm>
          <a:off x="962025" y="10115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59" name="Line 559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0" name="Line 560"/>
        <xdr:cNvSpPr>
          <a:spLocks/>
        </xdr:cNvSpPr>
      </xdr:nvSpPr>
      <xdr:spPr>
        <a:xfrm flipV="1"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1" name="Line 561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2" name="Line 562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3" name="Line 563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4" name="Line 564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5" name="Line 565"/>
        <xdr:cNvSpPr>
          <a:spLocks/>
        </xdr:cNvSpPr>
      </xdr:nvSpPr>
      <xdr:spPr>
        <a:xfrm flipV="1"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6" name="Line 566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7" name="Line 567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180975</xdr:rowOff>
    </xdr:from>
    <xdr:to>
      <xdr:col>1</xdr:col>
      <xdr:colOff>0</xdr:colOff>
      <xdr:row>55</xdr:row>
      <xdr:rowOff>180975</xdr:rowOff>
    </xdr:to>
    <xdr:sp>
      <xdr:nvSpPr>
        <xdr:cNvPr id="568" name="Line 568"/>
        <xdr:cNvSpPr>
          <a:spLocks/>
        </xdr:cNvSpPr>
      </xdr:nvSpPr>
      <xdr:spPr>
        <a:xfrm>
          <a:off x="962025" y="101346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69" name="Line 56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0" name="Line 570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1" name="Line 571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2" name="Line 572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3" name="Line 573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161925</xdr:rowOff>
    </xdr:from>
    <xdr:to>
      <xdr:col>1</xdr:col>
      <xdr:colOff>0</xdr:colOff>
      <xdr:row>57</xdr:row>
      <xdr:rowOff>161925</xdr:rowOff>
    </xdr:to>
    <xdr:sp>
      <xdr:nvSpPr>
        <xdr:cNvPr id="574" name="Line 574"/>
        <xdr:cNvSpPr>
          <a:spLocks/>
        </xdr:cNvSpPr>
      </xdr:nvSpPr>
      <xdr:spPr>
        <a:xfrm>
          <a:off x="962025" y="10477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5" name="Line 575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6" name="Line 576"/>
        <xdr:cNvSpPr>
          <a:spLocks/>
        </xdr:cNvSpPr>
      </xdr:nvSpPr>
      <xdr:spPr>
        <a:xfrm flipV="1"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7" name="Line 577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8" name="Line 578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180975</xdr:rowOff>
    </xdr:from>
    <xdr:to>
      <xdr:col>1</xdr:col>
      <xdr:colOff>0</xdr:colOff>
      <xdr:row>56</xdr:row>
      <xdr:rowOff>180975</xdr:rowOff>
    </xdr:to>
    <xdr:sp>
      <xdr:nvSpPr>
        <xdr:cNvPr id="579" name="Line 579"/>
        <xdr:cNvSpPr>
          <a:spLocks/>
        </xdr:cNvSpPr>
      </xdr:nvSpPr>
      <xdr:spPr>
        <a:xfrm>
          <a:off x="962025" y="10315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161925</xdr:rowOff>
    </xdr:from>
    <xdr:to>
      <xdr:col>1</xdr:col>
      <xdr:colOff>0</xdr:colOff>
      <xdr:row>57</xdr:row>
      <xdr:rowOff>161925</xdr:rowOff>
    </xdr:to>
    <xdr:sp>
      <xdr:nvSpPr>
        <xdr:cNvPr id="580" name="Line 580"/>
        <xdr:cNvSpPr>
          <a:spLocks/>
        </xdr:cNvSpPr>
      </xdr:nvSpPr>
      <xdr:spPr>
        <a:xfrm>
          <a:off x="962025" y="104775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1" name="Line 581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2" name="Line 582"/>
        <xdr:cNvSpPr>
          <a:spLocks/>
        </xdr:cNvSpPr>
      </xdr:nvSpPr>
      <xdr:spPr>
        <a:xfrm flipV="1"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3" name="Line 583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4" name="Line 584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5" name="Line 585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6" name="Line 586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7" name="Line 587"/>
        <xdr:cNvSpPr>
          <a:spLocks/>
        </xdr:cNvSpPr>
      </xdr:nvSpPr>
      <xdr:spPr>
        <a:xfrm flipV="1"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8" name="Line 588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89" name="Line 589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57</xdr:row>
      <xdr:rowOff>180975</xdr:rowOff>
    </xdr:to>
    <xdr:sp>
      <xdr:nvSpPr>
        <xdr:cNvPr id="590" name="Line 590"/>
        <xdr:cNvSpPr>
          <a:spLocks/>
        </xdr:cNvSpPr>
      </xdr:nvSpPr>
      <xdr:spPr>
        <a:xfrm>
          <a:off x="962025" y="104965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1" name="Line 591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2" name="Line 592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3" name="Line 593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4" name="Line 594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5" name="Line 595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0</xdr:colOff>
      <xdr:row>41</xdr:row>
      <xdr:rowOff>161925</xdr:rowOff>
    </xdr:to>
    <xdr:sp>
      <xdr:nvSpPr>
        <xdr:cNvPr id="596" name="Line 596"/>
        <xdr:cNvSpPr>
          <a:spLocks/>
        </xdr:cNvSpPr>
      </xdr:nvSpPr>
      <xdr:spPr>
        <a:xfrm>
          <a:off x="962025" y="7581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597" name="Line 597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598" name="Line 598"/>
        <xdr:cNvSpPr>
          <a:spLocks/>
        </xdr:cNvSpPr>
      </xdr:nvSpPr>
      <xdr:spPr>
        <a:xfrm flipV="1"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599" name="Line 599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0" name="Line 600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1" name="Line 601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2" name="Line 602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3" name="Line 603"/>
        <xdr:cNvSpPr>
          <a:spLocks/>
        </xdr:cNvSpPr>
      </xdr:nvSpPr>
      <xdr:spPr>
        <a:xfrm flipV="1"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4" name="Line 604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5" name="Line 605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41</xdr:row>
      <xdr:rowOff>180975</xdr:rowOff>
    </xdr:to>
    <xdr:sp>
      <xdr:nvSpPr>
        <xdr:cNvPr id="606" name="Line 606"/>
        <xdr:cNvSpPr>
          <a:spLocks/>
        </xdr:cNvSpPr>
      </xdr:nvSpPr>
      <xdr:spPr>
        <a:xfrm>
          <a:off x="962025" y="76009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07" name="Line 607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08" name="Line 608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09" name="Line 609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10" name="Line 610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11" name="Line 611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161925</xdr:rowOff>
    </xdr:from>
    <xdr:to>
      <xdr:col>1</xdr:col>
      <xdr:colOff>0</xdr:colOff>
      <xdr:row>42</xdr:row>
      <xdr:rowOff>161925</xdr:rowOff>
    </xdr:to>
    <xdr:sp>
      <xdr:nvSpPr>
        <xdr:cNvPr id="612" name="Line 612"/>
        <xdr:cNvSpPr>
          <a:spLocks/>
        </xdr:cNvSpPr>
      </xdr:nvSpPr>
      <xdr:spPr>
        <a:xfrm>
          <a:off x="962025" y="7762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3" name="Line 613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4" name="Line 614"/>
        <xdr:cNvSpPr>
          <a:spLocks/>
        </xdr:cNvSpPr>
      </xdr:nvSpPr>
      <xdr:spPr>
        <a:xfrm flipV="1"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5" name="Line 615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6" name="Line 616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7" name="Line 617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8" name="Line 618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19" name="Line 619"/>
        <xdr:cNvSpPr>
          <a:spLocks/>
        </xdr:cNvSpPr>
      </xdr:nvSpPr>
      <xdr:spPr>
        <a:xfrm flipV="1"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20" name="Line 620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21" name="Line 621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0</xdr:colOff>
      <xdr:row>42</xdr:row>
      <xdr:rowOff>180975</xdr:rowOff>
    </xdr:to>
    <xdr:sp>
      <xdr:nvSpPr>
        <xdr:cNvPr id="622" name="Line 622"/>
        <xdr:cNvSpPr>
          <a:spLocks/>
        </xdr:cNvSpPr>
      </xdr:nvSpPr>
      <xdr:spPr>
        <a:xfrm>
          <a:off x="962025" y="77819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3" name="Line 623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4" name="Line 624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5" name="Line 625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6" name="Line 626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7" name="Line 627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sp>
      <xdr:nvSpPr>
        <xdr:cNvPr id="628" name="Line 628"/>
        <xdr:cNvSpPr>
          <a:spLocks/>
        </xdr:cNvSpPr>
      </xdr:nvSpPr>
      <xdr:spPr>
        <a:xfrm>
          <a:off x="962025" y="7943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29" name="Line 629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0" name="Line 630"/>
        <xdr:cNvSpPr>
          <a:spLocks/>
        </xdr:cNvSpPr>
      </xdr:nvSpPr>
      <xdr:spPr>
        <a:xfrm flipV="1"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1" name="Line 631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2" name="Line 632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3" name="Line 633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4" name="Line 634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5" name="Line 635"/>
        <xdr:cNvSpPr>
          <a:spLocks/>
        </xdr:cNvSpPr>
      </xdr:nvSpPr>
      <xdr:spPr>
        <a:xfrm flipV="1"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6" name="Line 636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7" name="Line 637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180975</xdr:rowOff>
    </xdr:from>
    <xdr:to>
      <xdr:col>1</xdr:col>
      <xdr:colOff>0</xdr:colOff>
      <xdr:row>43</xdr:row>
      <xdr:rowOff>180975</xdr:rowOff>
    </xdr:to>
    <xdr:sp>
      <xdr:nvSpPr>
        <xdr:cNvPr id="638" name="Line 638"/>
        <xdr:cNvSpPr>
          <a:spLocks/>
        </xdr:cNvSpPr>
      </xdr:nvSpPr>
      <xdr:spPr>
        <a:xfrm>
          <a:off x="962025" y="7962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39" name="Line 639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40" name="Line 640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41" name="Line 641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42" name="Line 642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43" name="Line 643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644" name="Line 644"/>
        <xdr:cNvSpPr>
          <a:spLocks/>
        </xdr:cNvSpPr>
      </xdr:nvSpPr>
      <xdr:spPr>
        <a:xfrm>
          <a:off x="962025" y="8124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45" name="Line 645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46" name="Line 646"/>
        <xdr:cNvSpPr>
          <a:spLocks/>
        </xdr:cNvSpPr>
      </xdr:nvSpPr>
      <xdr:spPr>
        <a:xfrm flipV="1"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47" name="Line 647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48" name="Line 648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49" name="Line 649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50" name="Line 650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51" name="Line 651"/>
        <xdr:cNvSpPr>
          <a:spLocks/>
        </xdr:cNvSpPr>
      </xdr:nvSpPr>
      <xdr:spPr>
        <a:xfrm flipV="1"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52" name="Line 652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53" name="Line 653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180975</xdr:rowOff>
    </xdr:from>
    <xdr:to>
      <xdr:col>1</xdr:col>
      <xdr:colOff>0</xdr:colOff>
      <xdr:row>44</xdr:row>
      <xdr:rowOff>180975</xdr:rowOff>
    </xdr:to>
    <xdr:sp>
      <xdr:nvSpPr>
        <xdr:cNvPr id="654" name="Line 654"/>
        <xdr:cNvSpPr>
          <a:spLocks/>
        </xdr:cNvSpPr>
      </xdr:nvSpPr>
      <xdr:spPr>
        <a:xfrm>
          <a:off x="962025" y="81438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55" name="Line 655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56" name="Line 656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57" name="Line 657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58" name="Line 658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59" name="Line 659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161925</xdr:rowOff>
    </xdr:from>
    <xdr:to>
      <xdr:col>1</xdr:col>
      <xdr:colOff>0</xdr:colOff>
      <xdr:row>45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962025" y="8305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1" name="Line 661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2" name="Line 662"/>
        <xdr:cNvSpPr>
          <a:spLocks/>
        </xdr:cNvSpPr>
      </xdr:nvSpPr>
      <xdr:spPr>
        <a:xfrm flipV="1"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3" name="Line 663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4" name="Line 664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5" name="Line 665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6" name="Line 666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7" name="Line 667"/>
        <xdr:cNvSpPr>
          <a:spLocks/>
        </xdr:cNvSpPr>
      </xdr:nvSpPr>
      <xdr:spPr>
        <a:xfrm flipV="1"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8" name="Line 668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69" name="Line 669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180975</xdr:rowOff>
    </xdr:from>
    <xdr:to>
      <xdr:col>1</xdr:col>
      <xdr:colOff>0</xdr:colOff>
      <xdr:row>45</xdr:row>
      <xdr:rowOff>180975</xdr:rowOff>
    </xdr:to>
    <xdr:sp>
      <xdr:nvSpPr>
        <xdr:cNvPr id="670" name="Line 670"/>
        <xdr:cNvSpPr>
          <a:spLocks/>
        </xdr:cNvSpPr>
      </xdr:nvSpPr>
      <xdr:spPr>
        <a:xfrm>
          <a:off x="962025" y="83248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1" name="Line 671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2" name="Line 672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3" name="Line 673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4" name="Line 674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5" name="Line 675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1</xdr:col>
      <xdr:colOff>0</xdr:colOff>
      <xdr:row>46</xdr:row>
      <xdr:rowOff>161925</xdr:rowOff>
    </xdr:to>
    <xdr:sp>
      <xdr:nvSpPr>
        <xdr:cNvPr id="676" name="Line 676"/>
        <xdr:cNvSpPr>
          <a:spLocks/>
        </xdr:cNvSpPr>
      </xdr:nvSpPr>
      <xdr:spPr>
        <a:xfrm>
          <a:off x="962025" y="8486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77" name="Line 677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78" name="Line 678"/>
        <xdr:cNvSpPr>
          <a:spLocks/>
        </xdr:cNvSpPr>
      </xdr:nvSpPr>
      <xdr:spPr>
        <a:xfrm flipV="1"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79" name="Line 679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0" name="Line 680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1" name="Line 681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2" name="Line 682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3" name="Line 683"/>
        <xdr:cNvSpPr>
          <a:spLocks/>
        </xdr:cNvSpPr>
      </xdr:nvSpPr>
      <xdr:spPr>
        <a:xfrm flipV="1"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4" name="Line 684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5" name="Line 685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0</xdr:colOff>
      <xdr:row>46</xdr:row>
      <xdr:rowOff>180975</xdr:rowOff>
    </xdr:to>
    <xdr:sp>
      <xdr:nvSpPr>
        <xdr:cNvPr id="686" name="Line 686"/>
        <xdr:cNvSpPr>
          <a:spLocks/>
        </xdr:cNvSpPr>
      </xdr:nvSpPr>
      <xdr:spPr>
        <a:xfrm>
          <a:off x="962025" y="85058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87" name="Line 687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88" name="Line 688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89" name="Line 689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90" name="Line 690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91" name="Line 691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0</xdr:colOff>
      <xdr:row>47</xdr:row>
      <xdr:rowOff>161925</xdr:rowOff>
    </xdr:to>
    <xdr:sp>
      <xdr:nvSpPr>
        <xdr:cNvPr id="692" name="Line 692"/>
        <xdr:cNvSpPr>
          <a:spLocks/>
        </xdr:cNvSpPr>
      </xdr:nvSpPr>
      <xdr:spPr>
        <a:xfrm>
          <a:off x="962025" y="8667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3" name="Line 693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4" name="Line 694"/>
        <xdr:cNvSpPr>
          <a:spLocks/>
        </xdr:cNvSpPr>
      </xdr:nvSpPr>
      <xdr:spPr>
        <a:xfrm flipV="1"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5" name="Line 695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6" name="Line 696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7" name="Line 697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8" name="Line 698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699" name="Line 699"/>
        <xdr:cNvSpPr>
          <a:spLocks/>
        </xdr:cNvSpPr>
      </xdr:nvSpPr>
      <xdr:spPr>
        <a:xfrm flipV="1"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700" name="Line 700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701" name="Line 701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180975</xdr:rowOff>
    </xdr:from>
    <xdr:to>
      <xdr:col>1</xdr:col>
      <xdr:colOff>0</xdr:colOff>
      <xdr:row>47</xdr:row>
      <xdr:rowOff>180975</xdr:rowOff>
    </xdr:to>
    <xdr:sp>
      <xdr:nvSpPr>
        <xdr:cNvPr id="702" name="Line 702"/>
        <xdr:cNvSpPr>
          <a:spLocks/>
        </xdr:cNvSpPr>
      </xdr:nvSpPr>
      <xdr:spPr>
        <a:xfrm>
          <a:off x="962025" y="8686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3" name="Line 703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4" name="Line 704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5" name="Line 705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6" name="Line 706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7" name="Line 707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0</xdr:colOff>
      <xdr:row>48</xdr:row>
      <xdr:rowOff>161925</xdr:rowOff>
    </xdr:to>
    <xdr:sp>
      <xdr:nvSpPr>
        <xdr:cNvPr id="708" name="Line 708"/>
        <xdr:cNvSpPr>
          <a:spLocks/>
        </xdr:cNvSpPr>
      </xdr:nvSpPr>
      <xdr:spPr>
        <a:xfrm>
          <a:off x="962025" y="8848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09" name="Line 709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0" name="Line 710"/>
        <xdr:cNvSpPr>
          <a:spLocks/>
        </xdr:cNvSpPr>
      </xdr:nvSpPr>
      <xdr:spPr>
        <a:xfrm flipV="1"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1" name="Line 711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2" name="Line 712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3" name="Line 713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4" name="Line 714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5" name="Line 715"/>
        <xdr:cNvSpPr>
          <a:spLocks/>
        </xdr:cNvSpPr>
      </xdr:nvSpPr>
      <xdr:spPr>
        <a:xfrm flipV="1"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6" name="Line 716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7" name="Line 717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1</xdr:col>
      <xdr:colOff>0</xdr:colOff>
      <xdr:row>48</xdr:row>
      <xdr:rowOff>180975</xdr:rowOff>
    </xdr:to>
    <xdr:sp>
      <xdr:nvSpPr>
        <xdr:cNvPr id="718" name="Line 718"/>
        <xdr:cNvSpPr>
          <a:spLocks/>
        </xdr:cNvSpPr>
      </xdr:nvSpPr>
      <xdr:spPr>
        <a:xfrm>
          <a:off x="962025" y="88677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19" name="Line 719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20" name="Line 720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21" name="Line 721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22" name="Line 722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23" name="Line 723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0</xdr:colOff>
      <xdr:row>49</xdr:row>
      <xdr:rowOff>161925</xdr:rowOff>
    </xdr:to>
    <xdr:sp>
      <xdr:nvSpPr>
        <xdr:cNvPr id="724" name="Line 724"/>
        <xdr:cNvSpPr>
          <a:spLocks/>
        </xdr:cNvSpPr>
      </xdr:nvSpPr>
      <xdr:spPr>
        <a:xfrm>
          <a:off x="962025" y="90297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25" name="Line 725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26" name="Line 726"/>
        <xdr:cNvSpPr>
          <a:spLocks/>
        </xdr:cNvSpPr>
      </xdr:nvSpPr>
      <xdr:spPr>
        <a:xfrm flipV="1"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27" name="Line 727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28" name="Line 728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29" name="Line 729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30" name="Line 730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31" name="Line 731"/>
        <xdr:cNvSpPr>
          <a:spLocks/>
        </xdr:cNvSpPr>
      </xdr:nvSpPr>
      <xdr:spPr>
        <a:xfrm flipV="1"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32" name="Line 732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33" name="Line 733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180975</xdr:rowOff>
    </xdr:from>
    <xdr:to>
      <xdr:col>1</xdr:col>
      <xdr:colOff>0</xdr:colOff>
      <xdr:row>49</xdr:row>
      <xdr:rowOff>180975</xdr:rowOff>
    </xdr:to>
    <xdr:sp>
      <xdr:nvSpPr>
        <xdr:cNvPr id="734" name="Line 734"/>
        <xdr:cNvSpPr>
          <a:spLocks/>
        </xdr:cNvSpPr>
      </xdr:nvSpPr>
      <xdr:spPr>
        <a:xfrm>
          <a:off x="962025" y="90487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35" name="Line 735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36" name="Line 736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37" name="Line 737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38" name="Line 738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39" name="Line 739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1</xdr:col>
      <xdr:colOff>0</xdr:colOff>
      <xdr:row>50</xdr:row>
      <xdr:rowOff>161925</xdr:rowOff>
    </xdr:to>
    <xdr:sp>
      <xdr:nvSpPr>
        <xdr:cNvPr id="740" name="Line 740"/>
        <xdr:cNvSpPr>
          <a:spLocks/>
        </xdr:cNvSpPr>
      </xdr:nvSpPr>
      <xdr:spPr>
        <a:xfrm>
          <a:off x="962025" y="9210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1" name="Line 741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2" name="Line 742"/>
        <xdr:cNvSpPr>
          <a:spLocks/>
        </xdr:cNvSpPr>
      </xdr:nvSpPr>
      <xdr:spPr>
        <a:xfrm flipV="1"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3" name="Line 743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4" name="Line 744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5" name="Line 745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6" name="Line 746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7" name="Line 747"/>
        <xdr:cNvSpPr>
          <a:spLocks/>
        </xdr:cNvSpPr>
      </xdr:nvSpPr>
      <xdr:spPr>
        <a:xfrm flipV="1"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8" name="Line 748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49" name="Line 749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180975</xdr:rowOff>
    </xdr:from>
    <xdr:to>
      <xdr:col>1</xdr:col>
      <xdr:colOff>0</xdr:colOff>
      <xdr:row>50</xdr:row>
      <xdr:rowOff>180975</xdr:rowOff>
    </xdr:to>
    <xdr:sp>
      <xdr:nvSpPr>
        <xdr:cNvPr id="750" name="Line 750"/>
        <xdr:cNvSpPr>
          <a:spLocks/>
        </xdr:cNvSpPr>
      </xdr:nvSpPr>
      <xdr:spPr>
        <a:xfrm>
          <a:off x="962025" y="9229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161925</xdr:rowOff>
    </xdr:from>
    <xdr:to>
      <xdr:col>1</xdr:col>
      <xdr:colOff>0</xdr:colOff>
      <xdr:row>52</xdr:row>
      <xdr:rowOff>161925</xdr:rowOff>
    </xdr:to>
    <xdr:sp>
      <xdr:nvSpPr>
        <xdr:cNvPr id="751" name="Line 751"/>
        <xdr:cNvSpPr>
          <a:spLocks/>
        </xdr:cNvSpPr>
      </xdr:nvSpPr>
      <xdr:spPr>
        <a:xfrm>
          <a:off x="962025" y="957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161925</xdr:rowOff>
    </xdr:from>
    <xdr:to>
      <xdr:col>1</xdr:col>
      <xdr:colOff>0</xdr:colOff>
      <xdr:row>52</xdr:row>
      <xdr:rowOff>161925</xdr:rowOff>
    </xdr:to>
    <xdr:sp>
      <xdr:nvSpPr>
        <xdr:cNvPr id="752" name="Line 752"/>
        <xdr:cNvSpPr>
          <a:spLocks/>
        </xdr:cNvSpPr>
      </xdr:nvSpPr>
      <xdr:spPr>
        <a:xfrm>
          <a:off x="962025" y="957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161925</xdr:rowOff>
    </xdr:from>
    <xdr:to>
      <xdr:col>1</xdr:col>
      <xdr:colOff>0</xdr:colOff>
      <xdr:row>52</xdr:row>
      <xdr:rowOff>161925</xdr:rowOff>
    </xdr:to>
    <xdr:sp>
      <xdr:nvSpPr>
        <xdr:cNvPr id="753" name="Line 753"/>
        <xdr:cNvSpPr>
          <a:spLocks/>
        </xdr:cNvSpPr>
      </xdr:nvSpPr>
      <xdr:spPr>
        <a:xfrm>
          <a:off x="962025" y="957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161925</xdr:rowOff>
    </xdr:from>
    <xdr:to>
      <xdr:col>1</xdr:col>
      <xdr:colOff>0</xdr:colOff>
      <xdr:row>52</xdr:row>
      <xdr:rowOff>161925</xdr:rowOff>
    </xdr:to>
    <xdr:sp>
      <xdr:nvSpPr>
        <xdr:cNvPr id="754" name="Line 754"/>
        <xdr:cNvSpPr>
          <a:spLocks/>
        </xdr:cNvSpPr>
      </xdr:nvSpPr>
      <xdr:spPr>
        <a:xfrm>
          <a:off x="962025" y="9572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55" name="Line 755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56" name="Line 756"/>
        <xdr:cNvSpPr>
          <a:spLocks/>
        </xdr:cNvSpPr>
      </xdr:nvSpPr>
      <xdr:spPr>
        <a:xfrm flipV="1"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57" name="Line 757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58" name="Line 758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59" name="Line 759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60" name="Line 760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61" name="Line 761"/>
        <xdr:cNvSpPr>
          <a:spLocks/>
        </xdr:cNvSpPr>
      </xdr:nvSpPr>
      <xdr:spPr>
        <a:xfrm flipV="1"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62" name="Line 762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63" name="Line 763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1</xdr:col>
      <xdr:colOff>0</xdr:colOff>
      <xdr:row>52</xdr:row>
      <xdr:rowOff>180975</xdr:rowOff>
    </xdr:to>
    <xdr:sp>
      <xdr:nvSpPr>
        <xdr:cNvPr id="764" name="Line 764"/>
        <xdr:cNvSpPr>
          <a:spLocks/>
        </xdr:cNvSpPr>
      </xdr:nvSpPr>
      <xdr:spPr>
        <a:xfrm>
          <a:off x="962025" y="95916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EX1\USANST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20613;&#26126;&#20426;\&#22581;&#21335;\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數量計算表(乙)"/>
      <sheetName val="預算書送審單"/>
      <sheetName val="預算書封面"/>
      <sheetName val="資料輸入"/>
      <sheetName val="發包.材料費"/>
      <sheetName val="第一號明細表"/>
      <sheetName val="第二三四號明細表"/>
      <sheetName val="備用"/>
      <sheetName val="工程設計標準"/>
      <sheetName val="單價分析數量輸入"/>
      <sheetName val="單價分析表1"/>
      <sheetName val="單價分析表2"/>
      <sheetName val="單價分析表3"/>
      <sheetName val="單價分析表4"/>
      <sheetName val="單價分析表5"/>
      <sheetName val="單價分析表6"/>
      <sheetName val="單價分析表7"/>
      <sheetName val="備用1"/>
      <sheetName val="備用2"/>
      <sheetName val="備用3"/>
      <sheetName val="備用4"/>
      <sheetName val="工程數量計算表〈丙〉"/>
      <sheetName val="工程數量計算表〈丙〉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預算書總表"/>
      <sheetName val="第一號明細表"/>
      <sheetName val="第二號明細表"/>
      <sheetName val="第三號明細表"/>
      <sheetName val="第四號明細表"/>
      <sheetName val="1-12"/>
      <sheetName val="13-24"/>
      <sheetName val="25-45"/>
      <sheetName val="數量計算"/>
      <sheetName val="土方1"/>
      <sheetName val="土方2"/>
      <sheetName val="丙表1-5"/>
      <sheetName val="進度表"/>
      <sheetName val="Sheet1"/>
      <sheetName val="Chart1"/>
      <sheetName val="預算書總表 (空)"/>
      <sheetName val="第一號明細表 (空)"/>
      <sheetName val="第二號明細表 (空)"/>
      <sheetName val="第三號明細表 (空)"/>
      <sheetName val="第四號明細表 (空)"/>
      <sheetName val="1-12 (空)"/>
      <sheetName val="13-24 (空)"/>
      <sheetName val="25-45 (空)"/>
      <sheetName val="丙表1-5 (空)"/>
      <sheetName val="預算書總表 (估)"/>
      <sheetName val="第一號明細表 (估)"/>
      <sheetName val="第二號明細表 (估)"/>
      <sheetName val="第三號明細表 (估)"/>
      <sheetName val="第四號明細表 (估) "/>
      <sheetName val="1-12 (估) "/>
      <sheetName val="13-24 (估) "/>
      <sheetName val="25-45 (估)"/>
      <sheetName val="緣由"/>
      <sheetName val="data"/>
      <sheetName val="單價分析表"/>
      <sheetName val="丙表"/>
      <sheetName val="土方1 "/>
      <sheetName val="sheet"/>
      <sheetName val="工程預算書"/>
      <sheetName val="單價"/>
      <sheetName val="單價 (2)"/>
      <sheetName val="土方"/>
      <sheetName val="土方 (2)"/>
      <sheetName val="第五號明細表"/>
      <sheetName val="13-19"/>
      <sheetName val="20-33"/>
      <sheetName val="34-35"/>
      <sheetName val=" 回填方"/>
      <sheetName val="175KG"/>
    </sheetNames>
    <sheetDataSet>
      <sheetData sheetId="1">
        <row r="25">
          <cell r="F25">
            <v>8295271</v>
          </cell>
        </row>
      </sheetData>
      <sheetData sheetId="4">
        <row r="19">
          <cell r="F19">
            <v>1357000</v>
          </cell>
        </row>
      </sheetData>
      <sheetData sheetId="5">
        <row r="13">
          <cell r="F13">
            <v>3600000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="80" zoomScaleNormal="80" workbookViewId="0" topLeftCell="C1">
      <selection activeCell="D15" sqref="D15"/>
    </sheetView>
  </sheetViews>
  <sheetFormatPr defaultColWidth="9.00390625" defaultRowHeight="16.5"/>
  <cols>
    <col min="1" max="1" width="34.25390625" style="99" customWidth="1"/>
    <col min="2" max="2" width="18.875" style="99" bestFit="1" customWidth="1"/>
    <col min="3" max="4" width="19.625" style="99" bestFit="1" customWidth="1"/>
    <col min="5" max="5" width="16.75390625" style="99" bestFit="1" customWidth="1"/>
    <col min="6" max="7" width="16.75390625" style="99" customWidth="1"/>
    <col min="8" max="16384" width="9.00390625" style="99" customWidth="1"/>
  </cols>
  <sheetData>
    <row r="1" spans="1:2" ht="16.5">
      <c r="A1" s="97" t="s">
        <v>485</v>
      </c>
      <c r="B1" s="98">
        <f>data!F2+data!F4</f>
        <v>138109524</v>
      </c>
    </row>
    <row r="2" spans="1:7" ht="49.5">
      <c r="A2" s="100" t="s">
        <v>486</v>
      </c>
      <c r="B2" s="101" t="s">
        <v>487</v>
      </c>
      <c r="C2" s="101" t="s">
        <v>488</v>
      </c>
      <c r="E2" s="102">
        <f>(1.71-0.0143*B1/10000000)/100</f>
        <v>0.0151</v>
      </c>
      <c r="F2" s="103">
        <f>(2.95-0.0165*B1/10000000)/100</f>
        <v>0.0272</v>
      </c>
      <c r="G2" s="104"/>
    </row>
    <row r="3" spans="2:7" ht="16.5">
      <c r="B3" s="105">
        <f>ROUND((B1)*(1.71-0.0143*(B1)/10000000)/100,-3)</f>
        <v>2089000</v>
      </c>
      <c r="C3" s="105">
        <f>ROUND((B1)*(2.95-0.0165*(B1)/10000000)/100,-3)</f>
        <v>3760000</v>
      </c>
      <c r="G3" s="104"/>
    </row>
    <row r="4" spans="2:7" ht="16.5">
      <c r="B4" s="105"/>
      <c r="C4" s="105"/>
      <c r="G4" s="104"/>
    </row>
    <row r="5" spans="1:7" ht="16.5">
      <c r="A5" s="106" t="s">
        <v>489</v>
      </c>
      <c r="B5" s="107">
        <f>B1+0</f>
        <v>138109524</v>
      </c>
      <c r="C5" s="105"/>
      <c r="G5" s="104"/>
    </row>
    <row r="6" spans="1:7" ht="33">
      <c r="A6" s="100" t="s">
        <v>490</v>
      </c>
      <c r="B6" s="108" t="s">
        <v>491</v>
      </c>
      <c r="C6" s="99" t="s">
        <v>492</v>
      </c>
      <c r="D6" s="99" t="s">
        <v>493</v>
      </c>
      <c r="E6" s="99" t="s">
        <v>494</v>
      </c>
      <c r="F6" s="99" t="s">
        <v>495</v>
      </c>
      <c r="G6" s="104"/>
    </row>
    <row r="7" spans="1:7" ht="16.5">
      <c r="A7" s="99" t="s">
        <v>496</v>
      </c>
      <c r="B7" s="105">
        <f>B5*0.008</f>
        <v>1104876</v>
      </c>
      <c r="C7" s="105">
        <f>(B5-5000000)*0.008+40000</f>
        <v>1104876</v>
      </c>
      <c r="D7" s="105">
        <f>(B5-10000000)*0.015+80000</f>
        <v>2001643</v>
      </c>
      <c r="E7" s="105">
        <f>(B5-30000000)*0.019+380000</f>
        <v>2434081</v>
      </c>
      <c r="F7" s="99" t="s">
        <v>497</v>
      </c>
      <c r="G7" s="104"/>
    </row>
    <row r="8" ht="16.5">
      <c r="B8" s="109"/>
    </row>
    <row r="9" spans="1:7" ht="33">
      <c r="A9" s="110" t="s">
        <v>498</v>
      </c>
      <c r="B9" s="108" t="s">
        <v>499</v>
      </c>
      <c r="C9" s="108" t="s">
        <v>500</v>
      </c>
      <c r="D9" s="108" t="s">
        <v>501</v>
      </c>
      <c r="E9" s="108" t="s">
        <v>502</v>
      </c>
      <c r="F9" s="108" t="s">
        <v>503</v>
      </c>
      <c r="G9" s="108" t="s">
        <v>504</v>
      </c>
    </row>
    <row r="10" spans="1:7" ht="16.5">
      <c r="A10" s="111" t="s">
        <v>505</v>
      </c>
      <c r="B10" s="112">
        <f>0.011*B5</f>
        <v>1519204.76</v>
      </c>
      <c r="C10" s="112">
        <f>0.009*B5+6000</f>
        <v>1248985.72</v>
      </c>
      <c r="D10" s="112">
        <f>0.008*B5+12000</f>
        <v>1116876.19</v>
      </c>
      <c r="E10" s="112">
        <f>0.007*B5+22000</f>
        <v>988766.67</v>
      </c>
      <c r="F10" s="112">
        <f>0.006*B5+42000</f>
        <v>870657.14</v>
      </c>
      <c r="G10" s="112">
        <f>0.005*B5+82000</f>
        <v>772547.62</v>
      </c>
    </row>
    <row r="11" spans="1:7" ht="16.5">
      <c r="A11" s="104"/>
      <c r="B11" s="105"/>
      <c r="C11" s="105"/>
      <c r="D11" s="105"/>
      <c r="E11" s="105"/>
      <c r="F11" s="105"/>
      <c r="G11" s="105"/>
    </row>
    <row r="12" spans="1:7" ht="16.5">
      <c r="A12" s="113" t="s">
        <v>506</v>
      </c>
      <c r="B12" s="114">
        <f>ROUND((B1+B3+'[2]第三號明細表'!F19+'[2]第四號明細表'!F13),-3)</f>
        <v>145156000</v>
      </c>
      <c r="G12" s="104"/>
    </row>
    <row r="13" spans="1:4" ht="33">
      <c r="A13" s="100" t="s">
        <v>507</v>
      </c>
      <c r="B13" s="99" t="s">
        <v>508</v>
      </c>
      <c r="C13" s="99" t="s">
        <v>509</v>
      </c>
      <c r="D13" s="99" t="s">
        <v>510</v>
      </c>
    </row>
    <row r="14" spans="2:4" ht="16.5">
      <c r="B14" s="115" t="s">
        <v>511</v>
      </c>
      <c r="C14" s="116" t="s">
        <v>512</v>
      </c>
      <c r="D14" s="116" t="s">
        <v>513</v>
      </c>
    </row>
    <row r="15" ht="16.5">
      <c r="D15" s="117">
        <f>ROUND((0.0885*(B12)+150000),-3)</f>
        <v>12996000</v>
      </c>
    </row>
    <row r="17" spans="1:2" ht="33">
      <c r="A17" s="118" t="s">
        <v>514</v>
      </c>
      <c r="B17" s="99">
        <f>(B12+D15)*0.05</f>
        <v>7907600</v>
      </c>
    </row>
    <row r="18" spans="2:7" ht="23.25" customHeight="1">
      <c r="B18" s="1492" t="s">
        <v>515</v>
      </c>
      <c r="C18" s="1494" t="s">
        <v>516</v>
      </c>
      <c r="D18" s="1495" t="s">
        <v>517</v>
      </c>
      <c r="E18" s="1496"/>
      <c r="F18" s="1496"/>
      <c r="G18" s="1496"/>
    </row>
    <row r="19" spans="1:7" ht="49.5">
      <c r="A19" s="121" t="s">
        <v>518</v>
      </c>
      <c r="B19" s="1493"/>
      <c r="C19" s="1493"/>
      <c r="D19" s="119" t="s">
        <v>519</v>
      </c>
      <c r="E19" s="119" t="s">
        <v>520</v>
      </c>
      <c r="F19" s="119" t="s">
        <v>521</v>
      </c>
      <c r="G19" s="119" t="s">
        <v>522</v>
      </c>
    </row>
    <row r="20" spans="2:7" ht="66">
      <c r="B20" s="122" t="s">
        <v>523</v>
      </c>
      <c r="C20" s="123">
        <v>0.0105</v>
      </c>
      <c r="D20" s="1497">
        <v>0.0016</v>
      </c>
      <c r="E20" s="1497">
        <v>0.0016</v>
      </c>
      <c r="F20" s="1497">
        <v>0.0016</v>
      </c>
      <c r="G20" s="1497">
        <v>0.0012</v>
      </c>
    </row>
    <row r="21" spans="2:7" ht="16.5">
      <c r="B21" s="124" t="s">
        <v>524</v>
      </c>
      <c r="C21" s="125">
        <v>0.0095</v>
      </c>
      <c r="D21" s="1498"/>
      <c r="E21" s="1498"/>
      <c r="F21" s="1498"/>
      <c r="G21" s="1498"/>
    </row>
    <row r="22" spans="1:2" ht="16.5">
      <c r="A22" s="99" t="s">
        <v>481</v>
      </c>
      <c r="B22" s="126">
        <f>C20+2*D20+E20+F20+G20</f>
        <v>0.0181</v>
      </c>
    </row>
    <row r="23" spans="1:2" ht="16.5">
      <c r="A23" s="111" t="s">
        <v>482</v>
      </c>
      <c r="B23" s="127">
        <f>ROUND((B5*B22),-2)</f>
        <v>2499800</v>
      </c>
    </row>
    <row r="25" spans="1:4" ht="49.5">
      <c r="A25" s="121" t="s">
        <v>525</v>
      </c>
      <c r="B25" s="122" t="s">
        <v>526</v>
      </c>
      <c r="C25" s="119" t="s">
        <v>527</v>
      </c>
      <c r="D25" s="120" t="s">
        <v>528</v>
      </c>
    </row>
    <row r="26" spans="2:4" ht="16.5">
      <c r="B26" s="128" t="s">
        <v>529</v>
      </c>
      <c r="C26" s="125">
        <v>0.045</v>
      </c>
      <c r="D26" s="125">
        <v>0.055</v>
      </c>
    </row>
    <row r="27" spans="2:4" ht="16.5">
      <c r="B27" s="128" t="s">
        <v>530</v>
      </c>
      <c r="C27" s="125" t="s">
        <v>531</v>
      </c>
      <c r="D27" s="96" t="s">
        <v>532</v>
      </c>
    </row>
    <row r="28" spans="2:4" ht="16.5">
      <c r="B28" s="129" t="s">
        <v>533</v>
      </c>
      <c r="C28" s="125" t="s">
        <v>534</v>
      </c>
      <c r="D28" s="96" t="s">
        <v>535</v>
      </c>
    </row>
    <row r="29" spans="2:4" ht="16.5">
      <c r="B29" s="128" t="s">
        <v>536</v>
      </c>
      <c r="C29" s="125" t="s">
        <v>537</v>
      </c>
      <c r="D29" s="96" t="s">
        <v>538</v>
      </c>
    </row>
    <row r="30" spans="1:2" ht="28.5">
      <c r="A30" s="130" t="s">
        <v>483</v>
      </c>
      <c r="B30" s="131">
        <f>B12+'[2]預算書總表'!F25</f>
        <v>153451271</v>
      </c>
    </row>
    <row r="31" spans="1:2" ht="16.5">
      <c r="A31" s="111" t="s">
        <v>484</v>
      </c>
      <c r="B31" s="99">
        <f>ROUND((B30*0.03+900000),-3)</f>
        <v>5504000</v>
      </c>
    </row>
    <row r="33" ht="16.5">
      <c r="A33" s="99" t="s">
        <v>539</v>
      </c>
    </row>
  </sheetData>
  <mergeCells count="7">
    <mergeCell ref="B18:B19"/>
    <mergeCell ref="C18:C19"/>
    <mergeCell ref="D18:G18"/>
    <mergeCell ref="D20:D21"/>
    <mergeCell ref="E20:E21"/>
    <mergeCell ref="F20:F21"/>
    <mergeCell ref="G20:G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SheetLayoutView="100" workbookViewId="0" topLeftCell="A151">
      <selection activeCell="K18" sqref="K18"/>
    </sheetView>
  </sheetViews>
  <sheetFormatPr defaultColWidth="9.00390625" defaultRowHeight="16.5"/>
  <cols>
    <col min="1" max="1" width="2.75390625" style="0" customWidth="1"/>
    <col min="2" max="2" width="4.25390625" style="0" customWidth="1"/>
    <col min="3" max="3" width="7.375" style="0" customWidth="1"/>
    <col min="4" max="4" width="4.50390625" style="0" customWidth="1"/>
    <col min="5" max="5" width="7.50390625" style="0" customWidth="1"/>
    <col min="6" max="6" width="6.75390625" style="0" customWidth="1"/>
    <col min="7" max="7" width="9.25390625" style="0" customWidth="1"/>
    <col min="8" max="9" width="6.75390625" style="0" customWidth="1"/>
    <col min="10" max="10" width="9.75390625" style="0" customWidth="1"/>
    <col min="11" max="11" width="14.875" style="0" customWidth="1"/>
  </cols>
  <sheetData>
    <row r="1" spans="1:11" ht="22.5" customHeight="1">
      <c r="A1" s="1508" t="str">
        <f>'第一號明細表'!A1</f>
        <v>經濟部水利署第十河川局</v>
      </c>
      <c r="B1" s="1508"/>
      <c r="C1" s="1508"/>
      <c r="D1" s="1508"/>
      <c r="E1" s="1508"/>
      <c r="F1" s="1508"/>
      <c r="G1" s="1508"/>
      <c r="H1" s="1508"/>
      <c r="I1" s="1508"/>
      <c r="J1" s="1508"/>
      <c r="K1" s="1508"/>
    </row>
    <row r="2" spans="1:11" ht="22.5" customHeight="1">
      <c r="A2" s="1509" t="s">
        <v>648</v>
      </c>
      <c r="B2" s="1509"/>
      <c r="C2" s="1509"/>
      <c r="D2" s="1509"/>
      <c r="E2" s="1509"/>
      <c r="F2" s="1509"/>
      <c r="G2" s="1509"/>
      <c r="H2" s="1509"/>
      <c r="I2" s="1509"/>
      <c r="J2" s="1509"/>
      <c r="K2" s="1509"/>
    </row>
    <row r="3" spans="1:11" ht="22.5" customHeight="1">
      <c r="A3" s="1510" t="str">
        <f>data!F1</f>
        <v>工程名稱:基隆河整體治理計劃（前期計劃）瑞芳區塊介壽橋下游左右岸護岸工程</v>
      </c>
      <c r="B3" s="1511"/>
      <c r="C3" s="1511"/>
      <c r="D3" s="1511"/>
      <c r="E3" s="1511"/>
      <c r="F3" s="1511"/>
      <c r="G3" s="1512"/>
      <c r="H3" s="1512"/>
      <c r="I3" s="1512"/>
      <c r="J3" s="1512"/>
      <c r="K3" s="1512"/>
    </row>
    <row r="4" spans="1:11" ht="22.5" customHeight="1" thickBot="1">
      <c r="A4" s="27" t="str">
        <f>'第一號明細表'!A4</f>
        <v>施工地點：台北縣瑞芳鎮</v>
      </c>
      <c r="B4" s="442"/>
      <c r="C4" s="442"/>
      <c r="D4" s="444"/>
      <c r="E4" s="443"/>
      <c r="F4" s="443"/>
      <c r="G4" s="443"/>
      <c r="H4" s="443"/>
      <c r="I4" s="443"/>
      <c r="J4" s="443"/>
      <c r="K4" s="464" t="s">
        <v>1269</v>
      </c>
    </row>
    <row r="5" spans="1:11" ht="22.5" customHeight="1" thickBot="1">
      <c r="A5" s="445"/>
      <c r="B5" s="465" t="s">
        <v>649</v>
      </c>
      <c r="C5" s="1518"/>
      <c r="D5" s="486" t="s">
        <v>650</v>
      </c>
      <c r="E5" s="446" t="s">
        <v>651</v>
      </c>
      <c r="F5" s="447"/>
      <c r="G5" s="447"/>
      <c r="H5" s="446" t="s">
        <v>652</v>
      </c>
      <c r="I5" s="447"/>
      <c r="J5" s="447"/>
      <c r="K5" s="1520" t="s">
        <v>855</v>
      </c>
    </row>
    <row r="6" spans="1:11" ht="22.5" customHeight="1" thickBot="1">
      <c r="A6" s="484"/>
      <c r="B6" s="485" t="s">
        <v>659</v>
      </c>
      <c r="C6" s="1519"/>
      <c r="D6" s="488" t="s">
        <v>653</v>
      </c>
      <c r="E6" s="489" t="s">
        <v>654</v>
      </c>
      <c r="F6" s="490" t="s">
        <v>655</v>
      </c>
      <c r="G6" s="491" t="s">
        <v>656</v>
      </c>
      <c r="H6" s="489" t="s">
        <v>654</v>
      </c>
      <c r="I6" s="490" t="s">
        <v>655</v>
      </c>
      <c r="J6" s="492" t="s">
        <v>656</v>
      </c>
      <c r="K6" s="1521"/>
    </row>
    <row r="7" spans="1:11" ht="22.5" customHeight="1">
      <c r="A7" s="737"/>
      <c r="B7" s="738" t="s">
        <v>757</v>
      </c>
      <c r="C7" s="739"/>
      <c r="D7" s="738"/>
      <c r="E7" s="831"/>
      <c r="F7" s="742"/>
      <c r="G7" s="773"/>
      <c r="H7" s="831"/>
      <c r="I7" s="742"/>
      <c r="J7" s="773"/>
      <c r="K7" s="870"/>
    </row>
    <row r="8" spans="1:11" ht="22.5" customHeight="1">
      <c r="A8" s="448">
        <v>0</v>
      </c>
      <c r="B8" s="483" t="s">
        <v>657</v>
      </c>
      <c r="C8" s="455">
        <v>0</v>
      </c>
      <c r="D8" s="451" t="s">
        <v>658</v>
      </c>
      <c r="E8" s="487">
        <v>167.9</v>
      </c>
      <c r="F8" s="649" t="s">
        <v>786</v>
      </c>
      <c r="G8" s="650" t="s">
        <v>786</v>
      </c>
      <c r="H8" s="487">
        <v>5.2</v>
      </c>
      <c r="I8" s="651" t="s">
        <v>786</v>
      </c>
      <c r="J8" s="774" t="s">
        <v>786</v>
      </c>
      <c r="K8" s="862" t="str">
        <f>J8</f>
        <v>－</v>
      </c>
    </row>
    <row r="9" spans="1:11" ht="22.5" customHeight="1">
      <c r="A9" s="448">
        <v>0</v>
      </c>
      <c r="B9" s="449" t="s">
        <v>657</v>
      </c>
      <c r="C9" s="455">
        <v>25</v>
      </c>
      <c r="D9" s="454">
        <f>C9-C8</f>
        <v>25</v>
      </c>
      <c r="E9" s="452">
        <v>144.1</v>
      </c>
      <c r="F9" s="466">
        <f aca="true" t="shared" si="0" ref="F9:F20">(E8+E9)/2</f>
        <v>156</v>
      </c>
      <c r="G9" s="603">
        <f>IF(D9="－","－",ROUND(D9*F9,2))</f>
        <v>3900</v>
      </c>
      <c r="H9" s="487">
        <v>13.3</v>
      </c>
      <c r="I9" s="466">
        <f>(H8+H9)/2</f>
        <v>9.25</v>
      </c>
      <c r="J9" s="467">
        <f>IF(G9="－","－",ROUND(D9*I9,2))</f>
        <v>231.25</v>
      </c>
      <c r="K9" s="862">
        <f>J9</f>
        <v>231.25</v>
      </c>
    </row>
    <row r="10" spans="1:11" ht="22.5" customHeight="1">
      <c r="A10" s="448">
        <v>0</v>
      </c>
      <c r="B10" s="449" t="s">
        <v>657</v>
      </c>
      <c r="C10" s="455">
        <v>50</v>
      </c>
      <c r="D10" s="454">
        <f>C10-C9</f>
        <v>25</v>
      </c>
      <c r="E10" s="452">
        <v>188.3</v>
      </c>
      <c r="F10" s="466">
        <f t="shared" si="0"/>
        <v>166.2</v>
      </c>
      <c r="G10" s="603">
        <f aca="true" t="shared" si="1" ref="G10:G28">IF(D10="－","－",ROUND(D10*F10,2))</f>
        <v>4155</v>
      </c>
      <c r="H10" s="487">
        <v>3.3</v>
      </c>
      <c r="I10" s="466">
        <f>(H9+H10)/2</f>
        <v>8.3</v>
      </c>
      <c r="J10" s="467">
        <f aca="true" t="shared" si="2" ref="J10:J28">IF(G10="－","－",ROUND(D10*I10,2))</f>
        <v>207.5</v>
      </c>
      <c r="K10" s="862">
        <f aca="true" t="shared" si="3" ref="K10:K29">J10</f>
        <v>207.5</v>
      </c>
    </row>
    <row r="11" spans="1:11" ht="22.5" customHeight="1">
      <c r="A11" s="448">
        <v>0</v>
      </c>
      <c r="B11" s="449" t="s">
        <v>657</v>
      </c>
      <c r="C11" s="455">
        <v>75</v>
      </c>
      <c r="D11" s="454">
        <f>C11-C10</f>
        <v>25</v>
      </c>
      <c r="E11" s="452">
        <v>212.5</v>
      </c>
      <c r="F11" s="466">
        <f t="shared" si="0"/>
        <v>200.4</v>
      </c>
      <c r="G11" s="603">
        <f t="shared" si="1"/>
        <v>5010</v>
      </c>
      <c r="H11" s="487">
        <v>0</v>
      </c>
      <c r="I11" s="466">
        <f>(H10+H11)/2</f>
        <v>1.65</v>
      </c>
      <c r="J11" s="467">
        <f t="shared" si="2"/>
        <v>41.25</v>
      </c>
      <c r="K11" s="862">
        <f t="shared" si="3"/>
        <v>41.25</v>
      </c>
    </row>
    <row r="12" spans="1:11" ht="22.5" customHeight="1">
      <c r="A12" s="448">
        <v>0</v>
      </c>
      <c r="B12" s="449" t="s">
        <v>657</v>
      </c>
      <c r="C12" s="1353">
        <v>99.24</v>
      </c>
      <c r="D12" s="454">
        <f aca="true" t="shared" si="4" ref="D12:D20">C12-C11</f>
        <v>24.2</v>
      </c>
      <c r="E12" s="452">
        <v>181</v>
      </c>
      <c r="F12" s="466">
        <f t="shared" si="0"/>
        <v>196.75</v>
      </c>
      <c r="G12" s="603">
        <f t="shared" si="1"/>
        <v>4761</v>
      </c>
      <c r="H12" s="487">
        <v>11.6</v>
      </c>
      <c r="I12" s="466">
        <f aca="true" t="shared" si="5" ref="I12:I20">(H11+H12)/2</f>
        <v>5.8</v>
      </c>
      <c r="J12" s="467">
        <f t="shared" si="2"/>
        <v>140.36</v>
      </c>
      <c r="K12" s="862">
        <f t="shared" si="3"/>
        <v>140.36</v>
      </c>
    </row>
    <row r="13" spans="1:11" ht="22.5" customHeight="1">
      <c r="A13" s="448">
        <v>0</v>
      </c>
      <c r="B13" s="449" t="s">
        <v>657</v>
      </c>
      <c r="C13" s="1353">
        <v>120.56</v>
      </c>
      <c r="D13" s="451" t="s">
        <v>658</v>
      </c>
      <c r="E13" s="452">
        <v>185.1</v>
      </c>
      <c r="F13" s="649" t="s">
        <v>786</v>
      </c>
      <c r="G13" s="650" t="s">
        <v>786</v>
      </c>
      <c r="H13" s="487">
        <v>16.7</v>
      </c>
      <c r="I13" s="649" t="s">
        <v>786</v>
      </c>
      <c r="J13" s="650" t="s">
        <v>786</v>
      </c>
      <c r="K13" s="1393" t="str">
        <f t="shared" si="3"/>
        <v>－</v>
      </c>
    </row>
    <row r="14" spans="1:11" ht="22.5" customHeight="1">
      <c r="A14" s="448">
        <v>0</v>
      </c>
      <c r="B14" s="449" t="s">
        <v>657</v>
      </c>
      <c r="C14" s="455">
        <v>125</v>
      </c>
      <c r="D14" s="454">
        <f>C14-C13</f>
        <v>4.4</v>
      </c>
      <c r="E14" s="452">
        <v>185.5</v>
      </c>
      <c r="F14" s="466">
        <f>(E13+E14)/2</f>
        <v>185.3</v>
      </c>
      <c r="G14" s="603">
        <f>IF(D14="－","－",ROUND(D14*F14,2))</f>
        <v>815</v>
      </c>
      <c r="H14" s="487">
        <v>15.1</v>
      </c>
      <c r="I14" s="466">
        <f>(H13+H14)/2</f>
        <v>15.9</v>
      </c>
      <c r="J14" s="467">
        <f>IF(G14="－","－",ROUND(D14*I14,2))</f>
        <v>69.96</v>
      </c>
      <c r="K14" s="862">
        <f t="shared" si="3"/>
        <v>69.96</v>
      </c>
    </row>
    <row r="15" spans="1:11" ht="22.5" customHeight="1">
      <c r="A15" s="448">
        <v>0</v>
      </c>
      <c r="B15" s="482" t="s">
        <v>678</v>
      </c>
      <c r="C15" s="450">
        <v>150</v>
      </c>
      <c r="D15" s="454">
        <f t="shared" si="4"/>
        <v>25</v>
      </c>
      <c r="E15" s="452">
        <v>127.1</v>
      </c>
      <c r="F15" s="466">
        <f t="shared" si="0"/>
        <v>156.3</v>
      </c>
      <c r="G15" s="603">
        <f t="shared" si="1"/>
        <v>3908</v>
      </c>
      <c r="H15" s="487">
        <v>15.6</v>
      </c>
      <c r="I15" s="466">
        <f t="shared" si="5"/>
        <v>15.35</v>
      </c>
      <c r="J15" s="467">
        <f t="shared" si="2"/>
        <v>383.75</v>
      </c>
      <c r="K15" s="862">
        <f t="shared" si="3"/>
        <v>383.75</v>
      </c>
    </row>
    <row r="16" spans="1:11" ht="22.5" customHeight="1">
      <c r="A16" s="448">
        <v>0</v>
      </c>
      <c r="B16" s="482" t="s">
        <v>679</v>
      </c>
      <c r="C16" s="453">
        <v>175</v>
      </c>
      <c r="D16" s="454">
        <f t="shared" si="4"/>
        <v>25</v>
      </c>
      <c r="E16" s="452">
        <v>117.9</v>
      </c>
      <c r="F16" s="466">
        <f t="shared" si="0"/>
        <v>122.5</v>
      </c>
      <c r="G16" s="603">
        <f t="shared" si="1"/>
        <v>3063</v>
      </c>
      <c r="H16" s="487">
        <v>33.3</v>
      </c>
      <c r="I16" s="466">
        <f t="shared" si="5"/>
        <v>24.45</v>
      </c>
      <c r="J16" s="467">
        <f t="shared" si="2"/>
        <v>611.25</v>
      </c>
      <c r="K16" s="862">
        <f t="shared" si="3"/>
        <v>611.25</v>
      </c>
    </row>
    <row r="17" spans="1:11" ht="22.5" customHeight="1">
      <c r="A17" s="448">
        <v>0</v>
      </c>
      <c r="B17" s="482" t="s">
        <v>679</v>
      </c>
      <c r="C17" s="453" t="s">
        <v>1401</v>
      </c>
      <c r="D17" s="454">
        <v>25</v>
      </c>
      <c r="E17" s="452">
        <v>106.3</v>
      </c>
      <c r="F17" s="466">
        <f t="shared" si="0"/>
        <v>112.1</v>
      </c>
      <c r="G17" s="603">
        <f t="shared" si="1"/>
        <v>2803</v>
      </c>
      <c r="H17" s="487">
        <v>33.3</v>
      </c>
      <c r="I17" s="466">
        <f t="shared" si="5"/>
        <v>33.3</v>
      </c>
      <c r="J17" s="467">
        <f>IF(G17="－","－",ROUND(D17*I17,2))</f>
        <v>832.5</v>
      </c>
      <c r="K17" s="862">
        <f t="shared" si="3"/>
        <v>832.5</v>
      </c>
    </row>
    <row r="18" spans="1:11" ht="22.5" customHeight="1">
      <c r="A18" s="448">
        <v>1</v>
      </c>
      <c r="B18" s="482" t="s">
        <v>679</v>
      </c>
      <c r="C18" s="453" t="s">
        <v>1402</v>
      </c>
      <c r="D18" s="451" t="s">
        <v>658</v>
      </c>
      <c r="E18" s="452">
        <v>81.1</v>
      </c>
      <c r="F18" s="649" t="s">
        <v>786</v>
      </c>
      <c r="G18" s="650" t="s">
        <v>786</v>
      </c>
      <c r="H18" s="487">
        <v>41.3</v>
      </c>
      <c r="I18" s="649" t="s">
        <v>786</v>
      </c>
      <c r="J18" s="650" t="s">
        <v>786</v>
      </c>
      <c r="K18" s="1393" t="str">
        <f t="shared" si="3"/>
        <v>－</v>
      </c>
    </row>
    <row r="19" spans="1:11" ht="22.5" customHeight="1">
      <c r="A19" s="448">
        <v>0</v>
      </c>
      <c r="B19" s="482" t="s">
        <v>679</v>
      </c>
      <c r="C19" s="455">
        <v>225</v>
      </c>
      <c r="D19" s="454">
        <v>25</v>
      </c>
      <c r="E19" s="452">
        <v>86.5</v>
      </c>
      <c r="F19" s="466">
        <f>(E17+E19)/2</f>
        <v>96.4</v>
      </c>
      <c r="G19" s="603">
        <f t="shared" si="1"/>
        <v>2410</v>
      </c>
      <c r="H19" s="487">
        <v>35.9</v>
      </c>
      <c r="I19" s="466">
        <f>(H17+H19)/2</f>
        <v>34.6</v>
      </c>
      <c r="J19" s="467">
        <f t="shared" si="2"/>
        <v>865</v>
      </c>
      <c r="K19" s="862">
        <f t="shared" si="3"/>
        <v>865</v>
      </c>
    </row>
    <row r="20" spans="1:11" ht="22.5" customHeight="1">
      <c r="A20" s="448">
        <v>0</v>
      </c>
      <c r="B20" s="456" t="s">
        <v>679</v>
      </c>
      <c r="C20" s="455">
        <v>250</v>
      </c>
      <c r="D20" s="454">
        <f t="shared" si="4"/>
        <v>25</v>
      </c>
      <c r="E20" s="452">
        <v>60.5</v>
      </c>
      <c r="F20" s="466">
        <f t="shared" si="0"/>
        <v>73.5</v>
      </c>
      <c r="G20" s="603">
        <f t="shared" si="1"/>
        <v>1838</v>
      </c>
      <c r="H20" s="487">
        <v>49.6</v>
      </c>
      <c r="I20" s="466">
        <f t="shared" si="5"/>
        <v>42.75</v>
      </c>
      <c r="J20" s="467">
        <f t="shared" si="2"/>
        <v>1068.75</v>
      </c>
      <c r="K20" s="862">
        <f t="shared" si="3"/>
        <v>1068.75</v>
      </c>
    </row>
    <row r="21" spans="1:11" ht="22.5" customHeight="1">
      <c r="A21" s="448">
        <v>0</v>
      </c>
      <c r="B21" s="456" t="s">
        <v>679</v>
      </c>
      <c r="C21" s="455">
        <v>275</v>
      </c>
      <c r="D21" s="454">
        <f aca="true" t="shared" si="6" ref="D21:D28">C21-C20</f>
        <v>25</v>
      </c>
      <c r="E21" s="452">
        <v>55.6</v>
      </c>
      <c r="F21" s="466">
        <f aca="true" t="shared" si="7" ref="F21:F28">(E20+E21)/2</f>
        <v>58.05</v>
      </c>
      <c r="G21" s="603">
        <f>IF(D21="－","－",ROUND(D21*F21,2))</f>
        <v>1451</v>
      </c>
      <c r="H21" s="487">
        <v>60.2</v>
      </c>
      <c r="I21" s="466">
        <f aca="true" t="shared" si="8" ref="I21:I27">(H20+H21)/2</f>
        <v>54.9</v>
      </c>
      <c r="J21" s="467">
        <f t="shared" si="2"/>
        <v>1372.5</v>
      </c>
      <c r="K21" s="862">
        <f t="shared" si="3"/>
        <v>1372.5</v>
      </c>
    </row>
    <row r="22" spans="1:11" ht="22.5" customHeight="1">
      <c r="A22" s="448">
        <v>0</v>
      </c>
      <c r="B22" s="456" t="s">
        <v>679</v>
      </c>
      <c r="C22" s="455">
        <v>300</v>
      </c>
      <c r="D22" s="454">
        <f t="shared" si="6"/>
        <v>25</v>
      </c>
      <c r="E22" s="452">
        <v>64.1</v>
      </c>
      <c r="F22" s="466">
        <f t="shared" si="7"/>
        <v>59.85</v>
      </c>
      <c r="G22" s="603">
        <f t="shared" si="1"/>
        <v>1496</v>
      </c>
      <c r="H22" s="487">
        <v>43.9</v>
      </c>
      <c r="I22" s="466">
        <f t="shared" si="8"/>
        <v>52.05</v>
      </c>
      <c r="J22" s="467">
        <f t="shared" si="2"/>
        <v>1301.25</v>
      </c>
      <c r="K22" s="862">
        <f t="shared" si="3"/>
        <v>1301.25</v>
      </c>
    </row>
    <row r="23" spans="1:11" ht="22.5" customHeight="1">
      <c r="A23" s="448">
        <v>0</v>
      </c>
      <c r="B23" s="456" t="s">
        <v>679</v>
      </c>
      <c r="C23" s="455">
        <v>325</v>
      </c>
      <c r="D23" s="454">
        <f t="shared" si="6"/>
        <v>25</v>
      </c>
      <c r="E23" s="452">
        <v>52.3</v>
      </c>
      <c r="F23" s="466">
        <f t="shared" si="7"/>
        <v>58.2</v>
      </c>
      <c r="G23" s="603">
        <f t="shared" si="1"/>
        <v>1455</v>
      </c>
      <c r="H23" s="487">
        <v>49.1</v>
      </c>
      <c r="I23" s="466">
        <f t="shared" si="8"/>
        <v>46.5</v>
      </c>
      <c r="J23" s="467">
        <f>IF(G23="－","－",ROUND(D23*I23,2))</f>
        <v>1162.5</v>
      </c>
      <c r="K23" s="862">
        <f t="shared" si="3"/>
        <v>1162.5</v>
      </c>
    </row>
    <row r="24" spans="1:11" ht="22.5" customHeight="1">
      <c r="A24" s="448">
        <v>0</v>
      </c>
      <c r="B24" s="456" t="s">
        <v>679</v>
      </c>
      <c r="C24" s="455">
        <v>350</v>
      </c>
      <c r="D24" s="454">
        <f t="shared" si="6"/>
        <v>25</v>
      </c>
      <c r="E24" s="452">
        <v>75</v>
      </c>
      <c r="F24" s="466">
        <f t="shared" si="7"/>
        <v>63.65</v>
      </c>
      <c r="G24" s="603">
        <f t="shared" si="1"/>
        <v>1591</v>
      </c>
      <c r="H24" s="487">
        <v>23.6</v>
      </c>
      <c r="I24" s="466">
        <f t="shared" si="8"/>
        <v>36.35</v>
      </c>
      <c r="J24" s="467">
        <f t="shared" si="2"/>
        <v>908.75</v>
      </c>
      <c r="K24" s="862">
        <f t="shared" si="3"/>
        <v>908.75</v>
      </c>
    </row>
    <row r="25" spans="1:11" ht="22.5" customHeight="1">
      <c r="A25" s="448">
        <v>0</v>
      </c>
      <c r="B25" s="456" t="s">
        <v>679</v>
      </c>
      <c r="C25" s="455">
        <v>375</v>
      </c>
      <c r="D25" s="454">
        <f t="shared" si="6"/>
        <v>25</v>
      </c>
      <c r="E25" s="452">
        <v>97.5</v>
      </c>
      <c r="F25" s="466">
        <f t="shared" si="7"/>
        <v>86.25</v>
      </c>
      <c r="G25" s="603">
        <f t="shared" si="1"/>
        <v>2156</v>
      </c>
      <c r="H25" s="487">
        <v>8.23</v>
      </c>
      <c r="I25" s="466">
        <f t="shared" si="8"/>
        <v>15.92</v>
      </c>
      <c r="J25" s="467">
        <f t="shared" si="2"/>
        <v>398</v>
      </c>
      <c r="K25" s="862">
        <f t="shared" si="3"/>
        <v>398</v>
      </c>
    </row>
    <row r="26" spans="1:11" ht="22.5" customHeight="1">
      <c r="A26" s="448">
        <v>0</v>
      </c>
      <c r="B26" s="456" t="s">
        <v>679</v>
      </c>
      <c r="C26" s="455">
        <v>400</v>
      </c>
      <c r="D26" s="454">
        <f t="shared" si="6"/>
        <v>25</v>
      </c>
      <c r="E26" s="452">
        <v>78.1</v>
      </c>
      <c r="F26" s="466">
        <f t="shared" si="7"/>
        <v>87.8</v>
      </c>
      <c r="G26" s="603">
        <f>IF(D26="－","－",ROUND(D26*F26,2))</f>
        <v>2195</v>
      </c>
      <c r="H26" s="487">
        <v>3.1</v>
      </c>
      <c r="I26" s="466">
        <f t="shared" si="8"/>
        <v>5.67</v>
      </c>
      <c r="J26" s="467">
        <f t="shared" si="2"/>
        <v>141.75</v>
      </c>
      <c r="K26" s="862">
        <f t="shared" si="3"/>
        <v>141.75</v>
      </c>
    </row>
    <row r="27" spans="1:11" ht="22.5" customHeight="1">
      <c r="A27" s="448">
        <v>0</v>
      </c>
      <c r="B27" s="456" t="s">
        <v>679</v>
      </c>
      <c r="C27" s="455">
        <v>425</v>
      </c>
      <c r="D27" s="454">
        <f t="shared" si="6"/>
        <v>25</v>
      </c>
      <c r="E27" s="452">
        <v>87.7</v>
      </c>
      <c r="F27" s="466">
        <f t="shared" si="7"/>
        <v>82.9</v>
      </c>
      <c r="G27" s="603">
        <f t="shared" si="1"/>
        <v>2073</v>
      </c>
      <c r="H27" s="487">
        <v>1</v>
      </c>
      <c r="I27" s="466">
        <f t="shared" si="8"/>
        <v>2.05</v>
      </c>
      <c r="J27" s="467">
        <f>IF(G27="－","－",ROUND(D27*I27,2))</f>
        <v>51.25</v>
      </c>
      <c r="K27" s="862">
        <f t="shared" si="3"/>
        <v>51.25</v>
      </c>
    </row>
    <row r="28" spans="1:11" ht="22.5" customHeight="1">
      <c r="A28" s="448">
        <v>0</v>
      </c>
      <c r="B28" s="456" t="s">
        <v>679</v>
      </c>
      <c r="C28" s="1110">
        <v>428.5</v>
      </c>
      <c r="D28" s="454">
        <f t="shared" si="6"/>
        <v>3.5</v>
      </c>
      <c r="E28" s="452">
        <v>87.68</v>
      </c>
      <c r="F28" s="466">
        <f t="shared" si="7"/>
        <v>87.69</v>
      </c>
      <c r="G28" s="603">
        <f t="shared" si="1"/>
        <v>307</v>
      </c>
      <c r="H28" s="487">
        <v>0.8</v>
      </c>
      <c r="I28" s="466">
        <v>0</v>
      </c>
      <c r="J28" s="467">
        <f t="shared" si="2"/>
        <v>0</v>
      </c>
      <c r="K28" s="862">
        <f t="shared" si="3"/>
        <v>0</v>
      </c>
    </row>
    <row r="29" spans="1:11" ht="22.5" customHeight="1" thickBot="1">
      <c r="A29" s="604"/>
      <c r="B29" s="1113"/>
      <c r="C29" s="1114"/>
      <c r="D29" s="1115"/>
      <c r="E29" s="1116"/>
      <c r="F29" s="607"/>
      <c r="G29" s="1117">
        <f>SUM(G9:G28)</f>
        <v>45387</v>
      </c>
      <c r="H29" s="1116"/>
      <c r="I29" s="607"/>
      <c r="J29" s="607">
        <f>SUM(J9:J28)</f>
        <v>9787.57</v>
      </c>
      <c r="K29" s="1118">
        <f t="shared" si="3"/>
        <v>9787.57</v>
      </c>
    </row>
    <row r="30" spans="1:11" ht="22.5" customHeight="1">
      <c r="A30" s="457"/>
      <c r="B30" s="458"/>
      <c r="C30" s="458"/>
      <c r="D30" s="459"/>
      <c r="E30" s="460"/>
      <c r="F30" s="461"/>
      <c r="G30" s="461"/>
      <c r="H30" s="460"/>
      <c r="I30" s="461"/>
      <c r="J30" s="461"/>
      <c r="K30" s="460"/>
    </row>
    <row r="31" spans="1:10" ht="22.5" customHeight="1">
      <c r="A31" s="29" t="s">
        <v>542</v>
      </c>
      <c r="B31" s="136"/>
      <c r="C31" s="136"/>
      <c r="D31" s="136"/>
      <c r="E31" s="136"/>
      <c r="F31" s="136"/>
      <c r="G31" s="136"/>
      <c r="H31" s="136"/>
      <c r="I31" s="29" t="s">
        <v>543</v>
      </c>
      <c r="J31" s="136"/>
    </row>
    <row r="32" spans="1:11" ht="24.75" customHeight="1">
      <c r="A32" s="1508" t="str">
        <f>A1</f>
        <v>經濟部水利署第十河川局</v>
      </c>
      <c r="B32" s="1508"/>
      <c r="C32" s="1508"/>
      <c r="D32" s="1508"/>
      <c r="E32" s="1508"/>
      <c r="F32" s="1508"/>
      <c r="G32" s="1508"/>
      <c r="H32" s="1508"/>
      <c r="I32" s="1508"/>
      <c r="J32" s="1508"/>
      <c r="K32" s="1508"/>
    </row>
    <row r="33" spans="1:11" ht="24.75" customHeight="1">
      <c r="A33" s="1509" t="str">
        <f>A2</f>
        <v>土 方 計 算 表</v>
      </c>
      <c r="B33" s="1509"/>
      <c r="C33" s="1509"/>
      <c r="D33" s="1509"/>
      <c r="E33" s="1509"/>
      <c r="F33" s="1509"/>
      <c r="G33" s="1509"/>
      <c r="H33" s="1509"/>
      <c r="I33" s="1509"/>
      <c r="J33" s="1509"/>
      <c r="K33" s="1509"/>
    </row>
    <row r="34" spans="1:11" ht="24.75" customHeight="1">
      <c r="A34" s="1510" t="str">
        <f>A3</f>
        <v>工程名稱:基隆河整體治理計劃（前期計劃）瑞芳區塊介壽橋下游左右岸護岸工程</v>
      </c>
      <c r="B34" s="1511"/>
      <c r="C34" s="1511"/>
      <c r="D34" s="1511"/>
      <c r="E34" s="1511"/>
      <c r="F34" s="1511"/>
      <c r="G34" s="1512"/>
      <c r="H34" s="1512"/>
      <c r="I34" s="1512"/>
      <c r="J34" s="1512"/>
      <c r="K34" s="1512"/>
    </row>
    <row r="35" spans="1:11" ht="24.75" customHeight="1" thickBot="1">
      <c r="A35" s="27" t="str">
        <f>A4</f>
        <v>施工地點：台北縣瑞芳鎮</v>
      </c>
      <c r="B35" s="442"/>
      <c r="C35" s="442"/>
      <c r="D35" s="444"/>
      <c r="E35" s="443"/>
      <c r="F35" s="443"/>
      <c r="G35" s="443"/>
      <c r="H35" s="443"/>
      <c r="I35" s="443"/>
      <c r="J35" s="443"/>
      <c r="K35" s="464" t="s">
        <v>1270</v>
      </c>
    </row>
    <row r="36" spans="1:11" ht="24.75" customHeight="1" thickBot="1">
      <c r="A36" s="445"/>
      <c r="B36" s="465" t="s">
        <v>649</v>
      </c>
      <c r="C36" s="1518"/>
      <c r="D36" s="486" t="s">
        <v>650</v>
      </c>
      <c r="E36" s="446" t="s">
        <v>651</v>
      </c>
      <c r="F36" s="447"/>
      <c r="G36" s="447"/>
      <c r="H36" s="446" t="s">
        <v>652</v>
      </c>
      <c r="I36" s="447"/>
      <c r="J36" s="447"/>
      <c r="K36" s="1520" t="s">
        <v>855</v>
      </c>
    </row>
    <row r="37" spans="1:11" ht="24.75" customHeight="1" thickBot="1">
      <c r="A37" s="484"/>
      <c r="B37" s="485" t="s">
        <v>659</v>
      </c>
      <c r="C37" s="1519"/>
      <c r="D37" s="488" t="s">
        <v>653</v>
      </c>
      <c r="E37" s="489" t="s">
        <v>654</v>
      </c>
      <c r="F37" s="490" t="s">
        <v>655</v>
      </c>
      <c r="G37" s="491" t="s">
        <v>656</v>
      </c>
      <c r="H37" s="489" t="s">
        <v>654</v>
      </c>
      <c r="I37" s="490" t="s">
        <v>655</v>
      </c>
      <c r="J37" s="492" t="s">
        <v>656</v>
      </c>
      <c r="K37" s="1521"/>
    </row>
    <row r="38" spans="1:11" ht="24.75" customHeight="1">
      <c r="A38" s="600"/>
      <c r="B38" s="601" t="s">
        <v>758</v>
      </c>
      <c r="C38" s="602"/>
      <c r="D38" s="832"/>
      <c r="E38" s="769"/>
      <c r="F38" s="601"/>
      <c r="G38" s="617"/>
      <c r="H38" s="616"/>
      <c r="I38" s="601"/>
      <c r="J38" s="617"/>
      <c r="K38" s="840"/>
    </row>
    <row r="39" spans="1:11" ht="24.75" customHeight="1">
      <c r="A39" s="608">
        <v>0</v>
      </c>
      <c r="B39" s="609" t="s">
        <v>657</v>
      </c>
      <c r="C39" s="610">
        <v>0</v>
      </c>
      <c r="D39" s="618" t="s">
        <v>658</v>
      </c>
      <c r="E39" s="619">
        <v>45.7</v>
      </c>
      <c r="F39" s="620">
        <v>0</v>
      </c>
      <c r="G39" s="621">
        <v>0</v>
      </c>
      <c r="H39" s="619">
        <v>16.8</v>
      </c>
      <c r="I39" s="622">
        <v>0</v>
      </c>
      <c r="J39" s="623">
        <v>0</v>
      </c>
      <c r="K39" s="871">
        <f>J39</f>
        <v>0</v>
      </c>
    </row>
    <row r="40" spans="1:11" ht="24.75" customHeight="1">
      <c r="A40" s="448">
        <v>0</v>
      </c>
      <c r="B40" s="449" t="s">
        <v>657</v>
      </c>
      <c r="C40" s="455">
        <v>25</v>
      </c>
      <c r="D40" s="454">
        <f aca="true" t="shared" si="9" ref="D40:D49">C40-C39</f>
        <v>25</v>
      </c>
      <c r="E40" s="452">
        <v>45.6</v>
      </c>
      <c r="F40" s="466">
        <f aca="true" t="shared" si="10" ref="F40:F49">(E39+E40)/2</f>
        <v>45.65</v>
      </c>
      <c r="G40" s="603">
        <f>IF(D40="－","－",ROUND(D40*F40,2))</f>
        <v>1141</v>
      </c>
      <c r="H40" s="487">
        <v>18.4</v>
      </c>
      <c r="I40" s="466">
        <f aca="true" t="shared" si="11" ref="I40:I49">(H39+H40)/2</f>
        <v>17.6</v>
      </c>
      <c r="J40" s="467">
        <f aca="true" t="shared" si="12" ref="J40:J49">IF(G40="－","－",ROUND(D40*I40,2))</f>
        <v>440</v>
      </c>
      <c r="K40" s="871">
        <f aca="true" t="shared" si="13" ref="K40:K50">J40</f>
        <v>440</v>
      </c>
    </row>
    <row r="41" spans="1:11" ht="24.75" customHeight="1">
      <c r="A41" s="448">
        <v>0</v>
      </c>
      <c r="B41" s="449" t="s">
        <v>657</v>
      </c>
      <c r="C41" s="455">
        <v>50</v>
      </c>
      <c r="D41" s="454">
        <f t="shared" si="9"/>
        <v>25</v>
      </c>
      <c r="E41" s="452">
        <v>56.4</v>
      </c>
      <c r="F41" s="466">
        <f t="shared" si="10"/>
        <v>51</v>
      </c>
      <c r="G41" s="603">
        <f aca="true" t="shared" si="14" ref="G41:G49">IF(D41="－","－",ROUND(D41*F41,2))</f>
        <v>1275</v>
      </c>
      <c r="H41" s="487">
        <v>18.1</v>
      </c>
      <c r="I41" s="466">
        <f t="shared" si="11"/>
        <v>18.25</v>
      </c>
      <c r="J41" s="467">
        <f t="shared" si="12"/>
        <v>456.25</v>
      </c>
      <c r="K41" s="871">
        <f t="shared" si="13"/>
        <v>456.25</v>
      </c>
    </row>
    <row r="42" spans="1:11" ht="24.75" customHeight="1">
      <c r="A42" s="448">
        <v>0</v>
      </c>
      <c r="B42" s="449" t="s">
        <v>657</v>
      </c>
      <c r="C42" s="455">
        <v>75</v>
      </c>
      <c r="D42" s="454">
        <f t="shared" si="9"/>
        <v>25</v>
      </c>
      <c r="E42" s="452">
        <v>52.2</v>
      </c>
      <c r="F42" s="466">
        <f t="shared" si="10"/>
        <v>54.3</v>
      </c>
      <c r="G42" s="603">
        <f t="shared" si="14"/>
        <v>1358</v>
      </c>
      <c r="H42" s="487">
        <v>11.2</v>
      </c>
      <c r="I42" s="466">
        <f t="shared" si="11"/>
        <v>14.65</v>
      </c>
      <c r="J42" s="467">
        <f t="shared" si="12"/>
        <v>366.25</v>
      </c>
      <c r="K42" s="871">
        <f t="shared" si="13"/>
        <v>366.25</v>
      </c>
    </row>
    <row r="43" spans="1:11" ht="24.75" customHeight="1">
      <c r="A43" s="448">
        <v>0</v>
      </c>
      <c r="B43" s="449" t="s">
        <v>657</v>
      </c>
      <c r="C43" s="455">
        <v>100</v>
      </c>
      <c r="D43" s="454">
        <f t="shared" si="9"/>
        <v>25</v>
      </c>
      <c r="E43" s="452">
        <v>49.6</v>
      </c>
      <c r="F43" s="466">
        <f t="shared" si="10"/>
        <v>50.9</v>
      </c>
      <c r="G43" s="603">
        <f t="shared" si="14"/>
        <v>1273</v>
      </c>
      <c r="H43" s="487">
        <v>7.4</v>
      </c>
      <c r="I43" s="466">
        <f t="shared" si="11"/>
        <v>9.3</v>
      </c>
      <c r="J43" s="467">
        <f t="shared" si="12"/>
        <v>232.5</v>
      </c>
      <c r="K43" s="871">
        <f t="shared" si="13"/>
        <v>232.5</v>
      </c>
    </row>
    <row r="44" spans="1:11" ht="24.75" customHeight="1">
      <c r="A44" s="448">
        <v>0</v>
      </c>
      <c r="B44" s="449" t="s">
        <v>657</v>
      </c>
      <c r="C44" s="455">
        <v>125</v>
      </c>
      <c r="D44" s="454">
        <f t="shared" si="9"/>
        <v>25</v>
      </c>
      <c r="E44" s="452">
        <v>47.8</v>
      </c>
      <c r="F44" s="466">
        <f t="shared" si="10"/>
        <v>48.7</v>
      </c>
      <c r="G44" s="603">
        <f t="shared" si="14"/>
        <v>1218</v>
      </c>
      <c r="H44" s="487">
        <v>10.1</v>
      </c>
      <c r="I44" s="466">
        <f t="shared" si="11"/>
        <v>8.75</v>
      </c>
      <c r="J44" s="467">
        <f t="shared" si="12"/>
        <v>218.75</v>
      </c>
      <c r="K44" s="871">
        <f t="shared" si="13"/>
        <v>218.75</v>
      </c>
    </row>
    <row r="45" spans="1:11" ht="24.75" customHeight="1">
      <c r="A45" s="448">
        <v>0</v>
      </c>
      <c r="B45" s="449" t="s">
        <v>657</v>
      </c>
      <c r="C45" s="450">
        <v>150</v>
      </c>
      <c r="D45" s="454">
        <f t="shared" si="9"/>
        <v>25</v>
      </c>
      <c r="E45" s="452">
        <v>30.8</v>
      </c>
      <c r="F45" s="466">
        <f t="shared" si="10"/>
        <v>39.3</v>
      </c>
      <c r="G45" s="603">
        <f t="shared" si="14"/>
        <v>983</v>
      </c>
      <c r="H45" s="487">
        <v>13.1</v>
      </c>
      <c r="I45" s="466">
        <f t="shared" si="11"/>
        <v>11.6</v>
      </c>
      <c r="J45" s="467">
        <f t="shared" si="12"/>
        <v>290</v>
      </c>
      <c r="K45" s="871">
        <f t="shared" si="13"/>
        <v>290</v>
      </c>
    </row>
    <row r="46" spans="1:11" ht="24.75" customHeight="1">
      <c r="A46" s="448">
        <v>0</v>
      </c>
      <c r="B46" s="449" t="s">
        <v>657</v>
      </c>
      <c r="C46" s="453">
        <v>175</v>
      </c>
      <c r="D46" s="454">
        <f t="shared" si="9"/>
        <v>25</v>
      </c>
      <c r="E46" s="452">
        <v>30.8</v>
      </c>
      <c r="F46" s="466">
        <f t="shared" si="10"/>
        <v>30.8</v>
      </c>
      <c r="G46" s="603">
        <f t="shared" si="14"/>
        <v>770</v>
      </c>
      <c r="H46" s="487">
        <v>13.1</v>
      </c>
      <c r="I46" s="466">
        <f t="shared" si="11"/>
        <v>13.1</v>
      </c>
      <c r="J46" s="467">
        <f t="shared" si="12"/>
        <v>327.5</v>
      </c>
      <c r="K46" s="871">
        <f t="shared" si="13"/>
        <v>327.5</v>
      </c>
    </row>
    <row r="47" spans="1:11" ht="24.75" customHeight="1">
      <c r="A47" s="448">
        <v>0</v>
      </c>
      <c r="B47" s="449" t="s">
        <v>657</v>
      </c>
      <c r="C47" s="453">
        <v>200</v>
      </c>
      <c r="D47" s="454">
        <f t="shared" si="9"/>
        <v>25</v>
      </c>
      <c r="E47" s="452">
        <v>45.7</v>
      </c>
      <c r="F47" s="466">
        <f t="shared" si="10"/>
        <v>38.25</v>
      </c>
      <c r="G47" s="603">
        <f t="shared" si="14"/>
        <v>956</v>
      </c>
      <c r="H47" s="487">
        <v>16.8</v>
      </c>
      <c r="I47" s="466">
        <f t="shared" si="11"/>
        <v>14.95</v>
      </c>
      <c r="J47" s="467">
        <f t="shared" si="12"/>
        <v>373.75</v>
      </c>
      <c r="K47" s="871">
        <f t="shared" si="13"/>
        <v>373.75</v>
      </c>
    </row>
    <row r="48" spans="1:11" ht="24.75" customHeight="1">
      <c r="A48" s="448">
        <v>0</v>
      </c>
      <c r="B48" s="449" t="s">
        <v>657</v>
      </c>
      <c r="C48" s="455">
        <v>225</v>
      </c>
      <c r="D48" s="454">
        <f t="shared" si="9"/>
        <v>25</v>
      </c>
      <c r="E48" s="452">
        <v>45.6</v>
      </c>
      <c r="F48" s="466">
        <f t="shared" si="10"/>
        <v>45.65</v>
      </c>
      <c r="G48" s="603">
        <f t="shared" si="14"/>
        <v>1141</v>
      </c>
      <c r="H48" s="487">
        <v>18.4</v>
      </c>
      <c r="I48" s="466">
        <f t="shared" si="11"/>
        <v>17.6</v>
      </c>
      <c r="J48" s="467">
        <f t="shared" si="12"/>
        <v>440</v>
      </c>
      <c r="K48" s="871">
        <f t="shared" si="13"/>
        <v>440</v>
      </c>
    </row>
    <row r="49" spans="1:11" ht="24.75" customHeight="1">
      <c r="A49" s="448">
        <v>0</v>
      </c>
      <c r="B49" s="449" t="s">
        <v>657</v>
      </c>
      <c r="C49" s="455">
        <v>247</v>
      </c>
      <c r="D49" s="454">
        <f t="shared" si="9"/>
        <v>22</v>
      </c>
      <c r="E49" s="452">
        <v>56.4</v>
      </c>
      <c r="F49" s="466">
        <f t="shared" si="10"/>
        <v>51</v>
      </c>
      <c r="G49" s="603">
        <f t="shared" si="14"/>
        <v>1122</v>
      </c>
      <c r="H49" s="487">
        <v>18.1</v>
      </c>
      <c r="I49" s="466">
        <f t="shared" si="11"/>
        <v>18.25</v>
      </c>
      <c r="J49" s="467">
        <f t="shared" si="12"/>
        <v>401.5</v>
      </c>
      <c r="K49" s="871">
        <f t="shared" si="13"/>
        <v>401.5</v>
      </c>
    </row>
    <row r="50" spans="1:11" ht="24.75" customHeight="1">
      <c r="A50" s="448"/>
      <c r="B50" s="449"/>
      <c r="C50" s="455"/>
      <c r="D50" s="454"/>
      <c r="E50" s="452"/>
      <c r="F50" s="466"/>
      <c r="G50" s="603">
        <f>SUM(G39:G49)</f>
        <v>11237</v>
      </c>
      <c r="H50" s="487"/>
      <c r="I50" s="466"/>
      <c r="J50" s="467">
        <f>SUM(J39:J49)</f>
        <v>3546.5</v>
      </c>
      <c r="K50" s="871">
        <f t="shared" si="13"/>
        <v>3546.5</v>
      </c>
    </row>
    <row r="51" spans="1:11" ht="24.75" customHeight="1">
      <c r="A51" s="448"/>
      <c r="B51" s="449"/>
      <c r="C51" s="455"/>
      <c r="D51" s="454"/>
      <c r="E51" s="452"/>
      <c r="F51" s="466"/>
      <c r="G51" s="603"/>
      <c r="H51" s="487"/>
      <c r="I51" s="466"/>
      <c r="J51" s="467"/>
      <c r="K51" s="871"/>
    </row>
    <row r="52" spans="1:11" ht="24.75" customHeight="1">
      <c r="A52" s="448"/>
      <c r="B52" s="449"/>
      <c r="C52" s="455"/>
      <c r="D52" s="454"/>
      <c r="E52" s="452"/>
      <c r="F52" s="466"/>
      <c r="G52" s="603"/>
      <c r="H52" s="487"/>
      <c r="I52" s="466"/>
      <c r="J52" s="467"/>
      <c r="K52" s="871"/>
    </row>
    <row r="53" spans="1:11" ht="24.75" customHeight="1">
      <c r="A53" s="448"/>
      <c r="B53" s="449"/>
      <c r="C53" s="455"/>
      <c r="D53" s="454"/>
      <c r="E53" s="452"/>
      <c r="F53" s="466"/>
      <c r="G53" s="603"/>
      <c r="H53" s="487"/>
      <c r="I53" s="466"/>
      <c r="J53" s="467"/>
      <c r="K53" s="871"/>
    </row>
    <row r="54" spans="1:11" ht="24.75" customHeight="1">
      <c r="A54" s="448"/>
      <c r="B54" s="449"/>
      <c r="C54" s="455"/>
      <c r="D54" s="454"/>
      <c r="E54" s="452"/>
      <c r="F54" s="466"/>
      <c r="G54" s="603"/>
      <c r="H54" s="487"/>
      <c r="I54" s="466"/>
      <c r="J54" s="467"/>
      <c r="K54" s="871"/>
    </row>
    <row r="55" spans="1:11" ht="24.75" customHeight="1">
      <c r="A55" s="448"/>
      <c r="B55" s="449"/>
      <c r="C55" s="455"/>
      <c r="D55" s="454"/>
      <c r="E55" s="452"/>
      <c r="F55" s="466"/>
      <c r="G55" s="603"/>
      <c r="H55" s="487"/>
      <c r="I55" s="466"/>
      <c r="J55" s="467"/>
      <c r="K55" s="871"/>
    </row>
    <row r="56" spans="1:11" ht="24.75" customHeight="1">
      <c r="A56" s="448"/>
      <c r="B56" s="449"/>
      <c r="C56" s="455"/>
      <c r="D56" s="454"/>
      <c r="E56" s="452"/>
      <c r="F56" s="466"/>
      <c r="G56" s="603"/>
      <c r="H56" s="487"/>
      <c r="I56" s="466"/>
      <c r="J56" s="467"/>
      <c r="K56" s="871"/>
    </row>
    <row r="57" spans="1:11" ht="24.75" customHeight="1">
      <c r="A57" s="448"/>
      <c r="B57" s="449"/>
      <c r="C57" s="455"/>
      <c r="D57" s="454"/>
      <c r="E57" s="452"/>
      <c r="F57" s="466"/>
      <c r="G57" s="603"/>
      <c r="H57" s="487"/>
      <c r="I57" s="466"/>
      <c r="J57" s="467"/>
      <c r="K57" s="871"/>
    </row>
    <row r="58" spans="1:11" ht="24.75" customHeight="1" thickBot="1">
      <c r="A58" s="604"/>
      <c r="B58" s="869"/>
      <c r="C58" s="605"/>
      <c r="D58" s="606"/>
      <c r="E58" s="876"/>
      <c r="F58" s="607"/>
      <c r="G58" s="877"/>
      <c r="H58" s="876"/>
      <c r="I58" s="607"/>
      <c r="J58" s="879"/>
      <c r="K58" s="880"/>
    </row>
    <row r="59" spans="1:11" ht="24.75" customHeight="1">
      <c r="A59" s="457"/>
      <c r="B59" s="458"/>
      <c r="C59" s="458"/>
      <c r="D59" s="459"/>
      <c r="E59" s="460"/>
      <c r="F59" s="461"/>
      <c r="G59" s="461"/>
      <c r="H59" s="460"/>
      <c r="I59" s="461"/>
      <c r="J59" s="461"/>
      <c r="K59" s="460"/>
    </row>
    <row r="60" spans="1:10" ht="24.75" customHeight="1">
      <c r="A60" s="29" t="s">
        <v>542</v>
      </c>
      <c r="B60" s="136"/>
      <c r="C60" s="136"/>
      <c r="D60" s="136"/>
      <c r="E60" s="136"/>
      <c r="F60" s="136"/>
      <c r="G60" s="136"/>
      <c r="H60" s="136"/>
      <c r="I60" s="29" t="s">
        <v>543</v>
      </c>
      <c r="J60" s="136"/>
    </row>
    <row r="61" spans="1:11" ht="24.75" customHeight="1">
      <c r="A61" s="1508" t="str">
        <f>A32</f>
        <v>經濟部水利署第十河川局</v>
      </c>
      <c r="B61" s="1508"/>
      <c r="C61" s="1508"/>
      <c r="D61" s="1508"/>
      <c r="E61" s="1508"/>
      <c r="F61" s="1508"/>
      <c r="G61" s="1508"/>
      <c r="H61" s="1508"/>
      <c r="I61" s="1508"/>
      <c r="J61" s="1508"/>
      <c r="K61" s="1508"/>
    </row>
    <row r="62" spans="1:11" ht="24.75" customHeight="1">
      <c r="A62" s="1509" t="str">
        <f>A33</f>
        <v>土 方 計 算 表</v>
      </c>
      <c r="B62" s="1509"/>
      <c r="C62" s="1509"/>
      <c r="D62" s="1509"/>
      <c r="E62" s="1509"/>
      <c r="F62" s="1509"/>
      <c r="G62" s="1509"/>
      <c r="H62" s="1509"/>
      <c r="I62" s="1509"/>
      <c r="J62" s="1509"/>
      <c r="K62" s="1509"/>
    </row>
    <row r="63" spans="1:11" ht="24.75" customHeight="1">
      <c r="A63" s="1510" t="str">
        <f>A34</f>
        <v>工程名稱:基隆河整體治理計劃（前期計劃）瑞芳區塊介壽橋下游左右岸護岸工程</v>
      </c>
      <c r="B63" s="1511"/>
      <c r="C63" s="1511"/>
      <c r="D63" s="1511"/>
      <c r="E63" s="1511"/>
      <c r="F63" s="1511"/>
      <c r="G63" s="1512"/>
      <c r="H63" s="1512"/>
      <c r="I63" s="1512"/>
      <c r="J63" s="1512"/>
      <c r="K63" s="1512"/>
    </row>
    <row r="64" spans="1:11" ht="24.75" customHeight="1" thickBot="1">
      <c r="A64" s="27" t="str">
        <f>A35</f>
        <v>施工地點：台北縣瑞芳鎮</v>
      </c>
      <c r="B64" s="442"/>
      <c r="C64" s="442"/>
      <c r="D64" s="444"/>
      <c r="E64" s="443"/>
      <c r="F64" s="443"/>
      <c r="G64" s="443"/>
      <c r="H64" s="443"/>
      <c r="I64" s="443"/>
      <c r="J64" s="443"/>
      <c r="K64" s="464" t="s">
        <v>1271</v>
      </c>
    </row>
    <row r="65" spans="1:11" ht="24.75" customHeight="1" thickBot="1">
      <c r="A65" s="445"/>
      <c r="B65" s="465" t="s">
        <v>649</v>
      </c>
      <c r="C65" s="1518"/>
      <c r="D65" s="486" t="s">
        <v>650</v>
      </c>
      <c r="E65" s="446" t="s">
        <v>651</v>
      </c>
      <c r="F65" s="447"/>
      <c r="G65" s="447"/>
      <c r="H65" s="446" t="s">
        <v>652</v>
      </c>
      <c r="I65" s="447"/>
      <c r="J65" s="447"/>
      <c r="K65" s="1520" t="s">
        <v>855</v>
      </c>
    </row>
    <row r="66" spans="1:11" ht="24.75" customHeight="1" thickBot="1">
      <c r="A66" s="484"/>
      <c r="B66" s="485" t="s">
        <v>659</v>
      </c>
      <c r="C66" s="1519"/>
      <c r="D66" s="488" t="s">
        <v>653</v>
      </c>
      <c r="E66" s="489" t="s">
        <v>654</v>
      </c>
      <c r="F66" s="490" t="s">
        <v>655</v>
      </c>
      <c r="G66" s="491" t="s">
        <v>656</v>
      </c>
      <c r="H66" s="489" t="s">
        <v>654</v>
      </c>
      <c r="I66" s="490" t="s">
        <v>655</v>
      </c>
      <c r="J66" s="492" t="s">
        <v>656</v>
      </c>
      <c r="K66" s="1521"/>
    </row>
    <row r="67" spans="1:11" ht="24.75" customHeight="1">
      <c r="A67" s="448"/>
      <c r="B67" s="611" t="s">
        <v>759</v>
      </c>
      <c r="C67" s="612"/>
      <c r="D67" s="833"/>
      <c r="E67" s="769"/>
      <c r="F67" s="614"/>
      <c r="G67" s="615"/>
      <c r="H67" s="613"/>
      <c r="I67" s="614"/>
      <c r="J67" s="614"/>
      <c r="K67" s="834"/>
    </row>
    <row r="68" spans="1:11" ht="24.75" customHeight="1">
      <c r="A68" s="448">
        <v>0</v>
      </c>
      <c r="B68" s="482" t="s">
        <v>678</v>
      </c>
      <c r="C68" s="455">
        <v>0</v>
      </c>
      <c r="D68" s="454" t="s">
        <v>658</v>
      </c>
      <c r="E68" s="468">
        <v>22.4</v>
      </c>
      <c r="F68" s="652">
        <v>0</v>
      </c>
      <c r="G68" s="463">
        <v>0</v>
      </c>
      <c r="H68" s="468">
        <v>7.3</v>
      </c>
      <c r="I68" s="650">
        <f>(H82+H68)/2</f>
        <v>3.65</v>
      </c>
      <c r="J68" s="467">
        <v>0</v>
      </c>
      <c r="K68" s="874">
        <f>J68</f>
        <v>0</v>
      </c>
    </row>
    <row r="69" spans="1:11" ht="24.75" customHeight="1">
      <c r="A69" s="448">
        <v>0</v>
      </c>
      <c r="B69" s="482" t="s">
        <v>678</v>
      </c>
      <c r="C69" s="455">
        <v>25</v>
      </c>
      <c r="D69" s="454">
        <f aca="true" t="shared" si="15" ref="D69:D75">C69-C68</f>
        <v>25</v>
      </c>
      <c r="E69" s="452">
        <v>13.3</v>
      </c>
      <c r="F69" s="466">
        <f aca="true" t="shared" si="16" ref="F69:F75">(E68+E69)/2</f>
        <v>17.85</v>
      </c>
      <c r="G69" s="603">
        <f>IF(D69="－","－",ROUND(D69*F69,2))</f>
        <v>446</v>
      </c>
      <c r="H69" s="487">
        <v>18.3</v>
      </c>
      <c r="I69" s="466">
        <f aca="true" t="shared" si="17" ref="I69:I74">(H68+H69)/2</f>
        <v>12.8</v>
      </c>
      <c r="J69" s="467">
        <f aca="true" t="shared" si="18" ref="J69:J75">IF(G69="－","－",ROUND(D69*I69,2))</f>
        <v>320</v>
      </c>
      <c r="K69" s="874">
        <f aca="true" t="shared" si="19" ref="K69:K75">J69</f>
        <v>320</v>
      </c>
    </row>
    <row r="70" spans="1:11" ht="24.75" customHeight="1">
      <c r="A70" s="448">
        <v>0</v>
      </c>
      <c r="B70" s="482" t="s">
        <v>679</v>
      </c>
      <c r="C70" s="455">
        <v>50</v>
      </c>
      <c r="D70" s="454">
        <f t="shared" si="15"/>
        <v>25</v>
      </c>
      <c r="E70" s="452">
        <v>16.1</v>
      </c>
      <c r="F70" s="466">
        <f t="shared" si="16"/>
        <v>14.7</v>
      </c>
      <c r="G70" s="603">
        <f aca="true" t="shared" si="20" ref="G70:G75">IF(D70="－","－",ROUND(D70*F70,2))</f>
        <v>368</v>
      </c>
      <c r="H70" s="487">
        <v>13.4</v>
      </c>
      <c r="I70" s="466">
        <f t="shared" si="17"/>
        <v>15.85</v>
      </c>
      <c r="J70" s="467">
        <f t="shared" si="18"/>
        <v>396.25</v>
      </c>
      <c r="K70" s="874">
        <f t="shared" si="19"/>
        <v>396.3</v>
      </c>
    </row>
    <row r="71" spans="1:11" ht="24.75" customHeight="1">
      <c r="A71" s="448">
        <v>0</v>
      </c>
      <c r="B71" s="482" t="s">
        <v>679</v>
      </c>
      <c r="C71" s="455">
        <v>75</v>
      </c>
      <c r="D71" s="454">
        <f t="shared" si="15"/>
        <v>25</v>
      </c>
      <c r="E71" s="452">
        <v>24.8</v>
      </c>
      <c r="F71" s="466">
        <f t="shared" si="16"/>
        <v>20.45</v>
      </c>
      <c r="G71" s="603">
        <f t="shared" si="20"/>
        <v>511</v>
      </c>
      <c r="H71" s="487">
        <v>5.2</v>
      </c>
      <c r="I71" s="466">
        <f t="shared" si="17"/>
        <v>9.3</v>
      </c>
      <c r="J71" s="467">
        <f t="shared" si="18"/>
        <v>232.5</v>
      </c>
      <c r="K71" s="874">
        <f t="shared" si="19"/>
        <v>232.5</v>
      </c>
    </row>
    <row r="72" spans="1:11" ht="24.75" customHeight="1">
      <c r="A72" s="448">
        <v>0</v>
      </c>
      <c r="B72" s="482" t="s">
        <v>679</v>
      </c>
      <c r="C72" s="455">
        <v>100</v>
      </c>
      <c r="D72" s="454">
        <f t="shared" si="15"/>
        <v>25</v>
      </c>
      <c r="E72" s="452">
        <v>24</v>
      </c>
      <c r="F72" s="466">
        <f t="shared" si="16"/>
        <v>24.4</v>
      </c>
      <c r="G72" s="603">
        <f t="shared" si="20"/>
        <v>610</v>
      </c>
      <c r="H72" s="487">
        <v>7.7</v>
      </c>
      <c r="I72" s="466">
        <f t="shared" si="17"/>
        <v>6.45</v>
      </c>
      <c r="J72" s="467">
        <f t="shared" si="18"/>
        <v>161.25</v>
      </c>
      <c r="K72" s="874">
        <f t="shared" si="19"/>
        <v>161.3</v>
      </c>
    </row>
    <row r="73" spans="1:11" ht="24.75" customHeight="1">
      <c r="A73" s="448">
        <v>0</v>
      </c>
      <c r="B73" s="456" t="s">
        <v>679</v>
      </c>
      <c r="C73" s="455">
        <v>125</v>
      </c>
      <c r="D73" s="454">
        <f t="shared" si="15"/>
        <v>25</v>
      </c>
      <c r="E73" s="452">
        <v>20.3</v>
      </c>
      <c r="F73" s="466">
        <f t="shared" si="16"/>
        <v>22.15</v>
      </c>
      <c r="G73" s="603">
        <f t="shared" si="20"/>
        <v>554</v>
      </c>
      <c r="H73" s="487">
        <v>12.4</v>
      </c>
      <c r="I73" s="466">
        <f t="shared" si="17"/>
        <v>10.05</v>
      </c>
      <c r="J73" s="467">
        <f t="shared" si="18"/>
        <v>251.25</v>
      </c>
      <c r="K73" s="874">
        <f t="shared" si="19"/>
        <v>251.3</v>
      </c>
    </row>
    <row r="74" spans="1:11" ht="24.75" customHeight="1">
      <c r="A74" s="448">
        <v>0</v>
      </c>
      <c r="B74" s="456" t="s">
        <v>679</v>
      </c>
      <c r="C74" s="450">
        <v>150</v>
      </c>
      <c r="D74" s="454">
        <f t="shared" si="15"/>
        <v>25</v>
      </c>
      <c r="E74" s="452">
        <v>22.3</v>
      </c>
      <c r="F74" s="466">
        <f t="shared" si="16"/>
        <v>21.3</v>
      </c>
      <c r="G74" s="603">
        <f t="shared" si="20"/>
        <v>533</v>
      </c>
      <c r="H74" s="487">
        <v>13.3</v>
      </c>
      <c r="I74" s="466">
        <f t="shared" si="17"/>
        <v>12.85</v>
      </c>
      <c r="J74" s="467">
        <f t="shared" si="18"/>
        <v>321.25</v>
      </c>
      <c r="K74" s="874">
        <f t="shared" si="19"/>
        <v>321.3</v>
      </c>
    </row>
    <row r="75" spans="1:11" ht="24.75" customHeight="1">
      <c r="A75" s="448">
        <v>0</v>
      </c>
      <c r="B75" s="456" t="s">
        <v>679</v>
      </c>
      <c r="C75" s="1110">
        <v>175.63</v>
      </c>
      <c r="D75" s="1112">
        <f t="shared" si="15"/>
        <v>25.63</v>
      </c>
      <c r="E75" s="452">
        <v>26.3</v>
      </c>
      <c r="F75" s="466">
        <f t="shared" si="16"/>
        <v>24.3</v>
      </c>
      <c r="G75" s="603">
        <f t="shared" si="20"/>
        <v>623</v>
      </c>
      <c r="H75" s="487">
        <v>7.5</v>
      </c>
      <c r="I75" s="466">
        <v>0</v>
      </c>
      <c r="J75" s="467">
        <f t="shared" si="18"/>
        <v>0</v>
      </c>
      <c r="K75" s="874">
        <f t="shared" si="19"/>
        <v>0</v>
      </c>
    </row>
    <row r="76" spans="1:11" ht="24.75" customHeight="1">
      <c r="A76" s="1513"/>
      <c r="B76" s="1514"/>
      <c r="C76" s="1514"/>
      <c r="D76" s="835"/>
      <c r="E76" s="614"/>
      <c r="F76" s="614"/>
      <c r="G76" s="615">
        <f>SUM(G68:G75)</f>
        <v>3645</v>
      </c>
      <c r="H76" s="830"/>
      <c r="I76" s="836"/>
      <c r="J76" s="615">
        <f>SUM(J68:J75)</f>
        <v>1683</v>
      </c>
      <c r="K76" s="837">
        <f>J76</f>
        <v>1683</v>
      </c>
    </row>
    <row r="77" spans="1:11" ht="24.75" customHeight="1">
      <c r="A77" s="448"/>
      <c r="B77" s="449"/>
      <c r="C77" s="455"/>
      <c r="D77" s="454"/>
      <c r="E77" s="452"/>
      <c r="F77" s="466"/>
      <c r="G77" s="603"/>
      <c r="H77" s="487"/>
      <c r="I77" s="466"/>
      <c r="J77" s="467"/>
      <c r="K77" s="871"/>
    </row>
    <row r="78" spans="1:11" ht="24.75" customHeight="1">
      <c r="A78" s="1527" t="s">
        <v>680</v>
      </c>
      <c r="B78" s="1528"/>
      <c r="C78" s="1528"/>
      <c r="D78" s="838" t="s">
        <v>906</v>
      </c>
      <c r="E78" s="1530">
        <f>G29+G50+G76</f>
        <v>60269</v>
      </c>
      <c r="F78" s="1531"/>
      <c r="G78" s="621"/>
      <c r="H78" s="619"/>
      <c r="I78" s="622"/>
      <c r="J78" s="623"/>
      <c r="K78" s="871"/>
    </row>
    <row r="79" spans="1:11" ht="24.75" customHeight="1">
      <c r="A79" s="1527" t="s">
        <v>904</v>
      </c>
      <c r="B79" s="1528"/>
      <c r="C79" s="1528"/>
      <c r="D79" s="839" t="s">
        <v>906</v>
      </c>
      <c r="E79" s="1530">
        <f>J29+J50+J76</f>
        <v>15017</v>
      </c>
      <c r="F79" s="1531"/>
      <c r="G79" s="603"/>
      <c r="H79" s="487"/>
      <c r="I79" s="466"/>
      <c r="J79" s="467"/>
      <c r="K79" s="871"/>
    </row>
    <row r="80" spans="1:11" ht="24.75" customHeight="1">
      <c r="A80" s="1527" t="s">
        <v>905</v>
      </c>
      <c r="B80" s="1528"/>
      <c r="C80" s="1528"/>
      <c r="D80" s="839" t="s">
        <v>906</v>
      </c>
      <c r="E80" s="1530">
        <f>E79</f>
        <v>15017</v>
      </c>
      <c r="F80" s="1531"/>
      <c r="G80" s="603"/>
      <c r="H80" s="487"/>
      <c r="I80" s="466"/>
      <c r="J80" s="467"/>
      <c r="K80" s="871"/>
    </row>
    <row r="81" spans="1:11" ht="24.75" customHeight="1">
      <c r="A81" s="448"/>
      <c r="B81" s="449"/>
      <c r="C81" s="455"/>
      <c r="D81" s="454"/>
      <c r="E81" s="452"/>
      <c r="F81" s="466"/>
      <c r="G81" s="603"/>
      <c r="H81" s="487"/>
      <c r="I81" s="466"/>
      <c r="J81" s="467"/>
      <c r="K81" s="871"/>
    </row>
    <row r="82" spans="1:11" ht="24.75" customHeight="1">
      <c r="A82" s="448"/>
      <c r="B82" s="449"/>
      <c r="C82" s="455"/>
      <c r="D82" s="454"/>
      <c r="E82" s="452"/>
      <c r="F82" s="466"/>
      <c r="G82" s="603"/>
      <c r="H82" s="487"/>
      <c r="I82" s="466"/>
      <c r="J82" s="467"/>
      <c r="K82" s="871"/>
    </row>
    <row r="83" spans="1:11" ht="24.75" customHeight="1">
      <c r="A83" s="448"/>
      <c r="B83" s="449"/>
      <c r="C83" s="455"/>
      <c r="D83" s="454"/>
      <c r="E83" s="452"/>
      <c r="F83" s="466"/>
      <c r="G83" s="603"/>
      <c r="H83" s="487"/>
      <c r="I83" s="466"/>
      <c r="J83" s="467"/>
      <c r="K83" s="871"/>
    </row>
    <row r="84" spans="1:11" ht="24.75" customHeight="1">
      <c r="A84" s="448"/>
      <c r="B84" s="449"/>
      <c r="C84" s="455"/>
      <c r="D84" s="454"/>
      <c r="E84" s="452"/>
      <c r="F84" s="466"/>
      <c r="G84" s="603"/>
      <c r="H84" s="487"/>
      <c r="I84" s="466"/>
      <c r="J84" s="467"/>
      <c r="K84" s="871"/>
    </row>
    <row r="85" spans="1:11" ht="24.75" customHeight="1">
      <c r="A85" s="448"/>
      <c r="B85" s="449"/>
      <c r="C85" s="455"/>
      <c r="D85" s="454"/>
      <c r="E85" s="452"/>
      <c r="F85" s="466"/>
      <c r="G85" s="603"/>
      <c r="H85" s="487"/>
      <c r="I85" s="466"/>
      <c r="J85" s="467"/>
      <c r="K85" s="871"/>
    </row>
    <row r="86" spans="1:11" ht="24.75" customHeight="1">
      <c r="A86" s="448"/>
      <c r="B86" s="449"/>
      <c r="C86" s="455"/>
      <c r="D86" s="454"/>
      <c r="E86" s="452"/>
      <c r="F86" s="466"/>
      <c r="G86" s="603"/>
      <c r="H86" s="487"/>
      <c r="I86" s="466"/>
      <c r="J86" s="467"/>
      <c r="K86" s="871"/>
    </row>
    <row r="87" spans="1:11" ht="24.75" customHeight="1" thickBot="1">
      <c r="A87" s="713" t="s">
        <v>806</v>
      </c>
      <c r="B87" s="714"/>
      <c r="C87" s="715"/>
      <c r="D87" s="716"/>
      <c r="E87" s="876"/>
      <c r="F87" s="607"/>
      <c r="G87" s="877"/>
      <c r="H87" s="876"/>
      <c r="I87" s="607"/>
      <c r="J87" s="879"/>
      <c r="K87" s="880"/>
    </row>
    <row r="88" spans="1:11" ht="24.75" customHeight="1">
      <c r="A88" s="457"/>
      <c r="B88" s="458"/>
      <c r="C88" s="458"/>
      <c r="D88" s="459"/>
      <c r="E88" s="460"/>
      <c r="F88" s="461"/>
      <c r="G88" s="461"/>
      <c r="H88" s="460"/>
      <c r="I88" s="461"/>
      <c r="J88" s="461"/>
      <c r="K88" s="460"/>
    </row>
    <row r="89" spans="1:10" ht="24.75" customHeight="1">
      <c r="A89" s="29" t="s">
        <v>542</v>
      </c>
      <c r="B89" s="136"/>
      <c r="C89" s="136"/>
      <c r="D89" s="136"/>
      <c r="E89" s="136"/>
      <c r="F89" s="136"/>
      <c r="G89" s="136"/>
      <c r="H89" s="136"/>
      <c r="I89" s="29" t="s">
        <v>543</v>
      </c>
      <c r="J89" s="136"/>
    </row>
    <row r="90" spans="1:11" ht="22.5" customHeight="1">
      <c r="A90" s="1508" t="str">
        <f>A61</f>
        <v>經濟部水利署第十河川局</v>
      </c>
      <c r="B90" s="1508"/>
      <c r="C90" s="1508"/>
      <c r="D90" s="1508"/>
      <c r="E90" s="1508"/>
      <c r="F90" s="1508"/>
      <c r="G90" s="1508"/>
      <c r="H90" s="1508"/>
      <c r="I90" s="1508"/>
      <c r="J90" s="1508"/>
      <c r="K90" s="1508"/>
    </row>
    <row r="91" spans="1:11" ht="22.5" customHeight="1">
      <c r="A91" s="1509" t="str">
        <f>A62</f>
        <v>土 方 計 算 表</v>
      </c>
      <c r="B91" s="1509"/>
      <c r="C91" s="1509"/>
      <c r="D91" s="1509"/>
      <c r="E91" s="1509"/>
      <c r="F91" s="1509"/>
      <c r="G91" s="1509"/>
      <c r="H91" s="1509"/>
      <c r="I91" s="1509"/>
      <c r="J91" s="1509"/>
      <c r="K91" s="1509"/>
    </row>
    <row r="92" spans="1:11" ht="22.5" customHeight="1">
      <c r="A92" s="1510" t="str">
        <f>A63</f>
        <v>工程名稱:基隆河整體治理計劃（前期計劃）瑞芳區塊介壽橋下游左右岸護岸工程</v>
      </c>
      <c r="B92" s="1511"/>
      <c r="C92" s="1511"/>
      <c r="D92" s="1511"/>
      <c r="E92" s="1511"/>
      <c r="F92" s="1511"/>
      <c r="G92" s="1512"/>
      <c r="H92" s="1512"/>
      <c r="I92" s="1512"/>
      <c r="J92" s="1512"/>
      <c r="K92" s="1512"/>
    </row>
    <row r="93" spans="1:11" ht="22.5" customHeight="1" thickBot="1">
      <c r="A93" s="27" t="str">
        <f>A64</f>
        <v>施工地點：台北縣瑞芳鎮</v>
      </c>
      <c r="B93" s="442"/>
      <c r="C93" s="442"/>
      <c r="D93" s="444"/>
      <c r="E93" s="443"/>
      <c r="F93" s="443"/>
      <c r="G93" s="443"/>
      <c r="H93" s="443"/>
      <c r="I93" s="443"/>
      <c r="J93" s="443"/>
      <c r="K93" s="464" t="s">
        <v>1272</v>
      </c>
    </row>
    <row r="94" spans="1:11" ht="22.5" customHeight="1" thickBot="1">
      <c r="A94" s="445"/>
      <c r="B94" s="465" t="s">
        <v>649</v>
      </c>
      <c r="C94" s="1518"/>
      <c r="D94" s="486" t="s">
        <v>650</v>
      </c>
      <c r="E94" s="1515" t="s">
        <v>681</v>
      </c>
      <c r="F94" s="1516"/>
      <c r="G94" s="1517"/>
      <c r="H94" s="446"/>
      <c r="I94" s="447"/>
      <c r="J94" s="447"/>
      <c r="K94" s="1520"/>
    </row>
    <row r="95" spans="1:11" ht="22.5" customHeight="1" thickBot="1">
      <c r="A95" s="484"/>
      <c r="B95" s="485" t="s">
        <v>659</v>
      </c>
      <c r="C95" s="1519"/>
      <c r="D95" s="488" t="s">
        <v>653</v>
      </c>
      <c r="E95" s="489" t="s">
        <v>654</v>
      </c>
      <c r="F95" s="490" t="s">
        <v>655</v>
      </c>
      <c r="G95" s="491" t="s">
        <v>656</v>
      </c>
      <c r="H95" s="489"/>
      <c r="I95" s="490"/>
      <c r="J95" s="492"/>
      <c r="K95" s="1521"/>
    </row>
    <row r="96" spans="1:11" ht="22.5" customHeight="1">
      <c r="A96" s="737"/>
      <c r="B96" s="738" t="s">
        <v>757</v>
      </c>
      <c r="C96" s="739"/>
      <c r="D96" s="740"/>
      <c r="E96" s="741"/>
      <c r="F96" s="742"/>
      <c r="G96" s="743"/>
      <c r="H96" s="741"/>
      <c r="I96" s="742"/>
      <c r="J96" s="773"/>
      <c r="K96" s="861"/>
    </row>
    <row r="97" spans="1:11" ht="22.5" customHeight="1">
      <c r="A97" s="448">
        <v>0</v>
      </c>
      <c r="B97" s="483" t="s">
        <v>657</v>
      </c>
      <c r="C97" s="455">
        <v>0</v>
      </c>
      <c r="D97" s="451" t="s">
        <v>658</v>
      </c>
      <c r="E97" s="487">
        <v>110.9</v>
      </c>
      <c r="F97" s="649" t="s">
        <v>786</v>
      </c>
      <c r="G97" s="650" t="s">
        <v>786</v>
      </c>
      <c r="H97" s="487"/>
      <c r="I97" s="651"/>
      <c r="J97" s="774"/>
      <c r="K97" s="862"/>
    </row>
    <row r="98" spans="1:11" ht="22.5" customHeight="1">
      <c r="A98" s="448">
        <v>0</v>
      </c>
      <c r="B98" s="449" t="s">
        <v>657</v>
      </c>
      <c r="C98" s="455">
        <v>25</v>
      </c>
      <c r="D98" s="454">
        <f>C98-C97</f>
        <v>25</v>
      </c>
      <c r="E98" s="452">
        <v>96.3</v>
      </c>
      <c r="F98" s="466">
        <f aca="true" t="shared" si="21" ref="F98:F109">(E97+E98)/2</f>
        <v>103.6</v>
      </c>
      <c r="G98" s="603">
        <f aca="true" t="shared" si="22" ref="G98:G109">IF(D98="－","－",ROUND(D98*F98,2))</f>
        <v>2590</v>
      </c>
      <c r="H98" s="487"/>
      <c r="I98" s="466"/>
      <c r="J98" s="467"/>
      <c r="K98" s="862"/>
    </row>
    <row r="99" spans="1:11" ht="22.5" customHeight="1">
      <c r="A99" s="448">
        <v>0</v>
      </c>
      <c r="B99" s="449" t="s">
        <v>657</v>
      </c>
      <c r="C99" s="455">
        <v>50</v>
      </c>
      <c r="D99" s="454">
        <f>C99-C98</f>
        <v>25</v>
      </c>
      <c r="E99" s="452">
        <v>107.88</v>
      </c>
      <c r="F99" s="466">
        <f t="shared" si="21"/>
        <v>102.09</v>
      </c>
      <c r="G99" s="603">
        <f t="shared" si="22"/>
        <v>2552</v>
      </c>
      <c r="H99" s="487"/>
      <c r="I99" s="466"/>
      <c r="J99" s="467"/>
      <c r="K99" s="862"/>
    </row>
    <row r="100" spans="1:11" ht="22.5" customHeight="1">
      <c r="A100" s="448">
        <v>0</v>
      </c>
      <c r="B100" s="449" t="s">
        <v>657</v>
      </c>
      <c r="C100" s="455">
        <v>75</v>
      </c>
      <c r="D100" s="454">
        <f>C100-C99</f>
        <v>25</v>
      </c>
      <c r="E100" s="452">
        <v>110.3</v>
      </c>
      <c r="F100" s="466">
        <f t="shared" si="21"/>
        <v>109.09</v>
      </c>
      <c r="G100" s="603">
        <f t="shared" si="22"/>
        <v>2727</v>
      </c>
      <c r="H100" s="487"/>
      <c r="I100" s="466"/>
      <c r="J100" s="467"/>
      <c r="K100" s="862"/>
    </row>
    <row r="101" spans="1:11" ht="22.5" customHeight="1">
      <c r="A101" s="448">
        <v>0</v>
      </c>
      <c r="B101" s="449" t="s">
        <v>657</v>
      </c>
      <c r="C101" s="1353">
        <v>99.24</v>
      </c>
      <c r="D101" s="454">
        <f>C101-C100</f>
        <v>24.2</v>
      </c>
      <c r="E101" s="452">
        <v>99.1</v>
      </c>
      <c r="F101" s="466">
        <f>(E100+E101)/2</f>
        <v>104.7</v>
      </c>
      <c r="G101" s="603">
        <f>IF(D101="－","－",ROUND(D101*F101,2))</f>
        <v>2534</v>
      </c>
      <c r="H101" s="487"/>
      <c r="I101" s="466"/>
      <c r="J101" s="467"/>
      <c r="K101" s="862"/>
    </row>
    <row r="102" spans="1:11" ht="22.5" customHeight="1">
      <c r="A102" s="448">
        <v>0</v>
      </c>
      <c r="B102" s="449" t="s">
        <v>657</v>
      </c>
      <c r="C102" s="1353">
        <v>120.56</v>
      </c>
      <c r="D102" s="451" t="s">
        <v>658</v>
      </c>
      <c r="E102" s="452">
        <v>95.7</v>
      </c>
      <c r="F102" s="649" t="s">
        <v>786</v>
      </c>
      <c r="G102" s="650" t="s">
        <v>786</v>
      </c>
      <c r="H102" s="487"/>
      <c r="I102" s="466"/>
      <c r="J102" s="467"/>
      <c r="K102" s="862"/>
    </row>
    <row r="103" spans="1:11" ht="22.5" customHeight="1">
      <c r="A103" s="448">
        <v>0</v>
      </c>
      <c r="B103" s="449" t="s">
        <v>657</v>
      </c>
      <c r="C103" s="455">
        <v>125</v>
      </c>
      <c r="D103" s="454">
        <f aca="true" t="shared" si="23" ref="D103:D109">C103-C102</f>
        <v>4.4</v>
      </c>
      <c r="E103" s="452">
        <v>95.9</v>
      </c>
      <c r="F103" s="466">
        <f t="shared" si="21"/>
        <v>95.8</v>
      </c>
      <c r="G103" s="603">
        <f t="shared" si="22"/>
        <v>422</v>
      </c>
      <c r="H103" s="487"/>
      <c r="I103" s="466"/>
      <c r="J103" s="467"/>
      <c r="K103" s="862"/>
    </row>
    <row r="104" spans="1:11" ht="22.5" customHeight="1">
      <c r="A104" s="448">
        <v>0</v>
      </c>
      <c r="B104" s="482" t="s">
        <v>678</v>
      </c>
      <c r="C104" s="450">
        <v>150</v>
      </c>
      <c r="D104" s="454">
        <f t="shared" si="23"/>
        <v>25</v>
      </c>
      <c r="E104" s="452">
        <v>95.22</v>
      </c>
      <c r="F104" s="466">
        <f t="shared" si="21"/>
        <v>95.56</v>
      </c>
      <c r="G104" s="603">
        <f t="shared" si="22"/>
        <v>2389</v>
      </c>
      <c r="H104" s="487"/>
      <c r="I104" s="466"/>
      <c r="J104" s="467"/>
      <c r="K104" s="862"/>
    </row>
    <row r="105" spans="1:11" ht="22.5" customHeight="1">
      <c r="A105" s="448">
        <v>0</v>
      </c>
      <c r="B105" s="482" t="s">
        <v>679</v>
      </c>
      <c r="C105" s="453">
        <v>175</v>
      </c>
      <c r="D105" s="454">
        <f t="shared" si="23"/>
        <v>25</v>
      </c>
      <c r="E105" s="452">
        <v>76.5</v>
      </c>
      <c r="F105" s="466">
        <f t="shared" si="21"/>
        <v>85.86</v>
      </c>
      <c r="G105" s="603">
        <f t="shared" si="22"/>
        <v>2147</v>
      </c>
      <c r="H105" s="487"/>
      <c r="I105" s="466"/>
      <c r="J105" s="467"/>
      <c r="K105" s="862"/>
    </row>
    <row r="106" spans="1:11" ht="22.5" customHeight="1">
      <c r="A106" s="448">
        <v>0</v>
      </c>
      <c r="B106" s="482" t="s">
        <v>679</v>
      </c>
      <c r="C106" s="453" t="s">
        <v>1401</v>
      </c>
      <c r="D106" s="454">
        <v>25</v>
      </c>
      <c r="E106" s="452">
        <v>79.1</v>
      </c>
      <c r="F106" s="466">
        <f t="shared" si="21"/>
        <v>77.8</v>
      </c>
      <c r="G106" s="603">
        <f t="shared" si="22"/>
        <v>1945</v>
      </c>
      <c r="H106" s="487"/>
      <c r="I106" s="466"/>
      <c r="J106" s="467"/>
      <c r="K106" s="862"/>
    </row>
    <row r="107" spans="1:11" ht="22.5" customHeight="1">
      <c r="A107" s="448">
        <v>0</v>
      </c>
      <c r="B107" s="482" t="s">
        <v>679</v>
      </c>
      <c r="C107" s="453" t="s">
        <v>1402</v>
      </c>
      <c r="D107" s="451" t="s">
        <v>658</v>
      </c>
      <c r="E107" s="452">
        <v>59.9</v>
      </c>
      <c r="F107" s="649" t="s">
        <v>786</v>
      </c>
      <c r="G107" s="650" t="s">
        <v>786</v>
      </c>
      <c r="H107" s="487"/>
      <c r="I107" s="466"/>
      <c r="J107" s="467"/>
      <c r="K107" s="862"/>
    </row>
    <row r="108" spans="1:11" ht="22.5" customHeight="1">
      <c r="A108" s="448">
        <v>0</v>
      </c>
      <c r="B108" s="482" t="s">
        <v>679</v>
      </c>
      <c r="C108" s="455">
        <v>225</v>
      </c>
      <c r="D108" s="454">
        <v>25</v>
      </c>
      <c r="E108" s="452">
        <v>62.5</v>
      </c>
      <c r="F108" s="466">
        <f>(E106+E108)/2</f>
        <v>70.8</v>
      </c>
      <c r="G108" s="603">
        <f t="shared" si="22"/>
        <v>1770</v>
      </c>
      <c r="H108" s="487"/>
      <c r="I108" s="466"/>
      <c r="J108" s="467"/>
      <c r="K108" s="862"/>
    </row>
    <row r="109" spans="1:11" ht="22.5" customHeight="1">
      <c r="A109" s="448">
        <v>0</v>
      </c>
      <c r="B109" s="456" t="s">
        <v>679</v>
      </c>
      <c r="C109" s="455">
        <v>250</v>
      </c>
      <c r="D109" s="454">
        <f t="shared" si="23"/>
        <v>25</v>
      </c>
      <c r="E109" s="452">
        <v>42.8</v>
      </c>
      <c r="F109" s="466">
        <f t="shared" si="21"/>
        <v>52.65</v>
      </c>
      <c r="G109" s="603">
        <f t="shared" si="22"/>
        <v>1316</v>
      </c>
      <c r="H109" s="487"/>
      <c r="I109" s="466"/>
      <c r="J109" s="467"/>
      <c r="K109" s="862"/>
    </row>
    <row r="110" spans="1:11" ht="22.5" customHeight="1">
      <c r="A110" s="448">
        <v>0</v>
      </c>
      <c r="B110" s="456" t="s">
        <v>679</v>
      </c>
      <c r="C110" s="455">
        <v>275</v>
      </c>
      <c r="D110" s="454">
        <f aca="true" t="shared" si="24" ref="D110:D117">C110-C109</f>
        <v>25</v>
      </c>
      <c r="E110" s="452">
        <v>37.4</v>
      </c>
      <c r="F110" s="466">
        <f aca="true" t="shared" si="25" ref="F110:F117">(E109+E110)/2</f>
        <v>40.1</v>
      </c>
      <c r="G110" s="603">
        <f aca="true" t="shared" si="26" ref="G110:G117">IF(D110="－","－",ROUND(D110*F110,2))</f>
        <v>1003</v>
      </c>
      <c r="H110" s="487"/>
      <c r="I110" s="466"/>
      <c r="J110" s="467"/>
      <c r="K110" s="862"/>
    </row>
    <row r="111" spans="1:11" ht="22.5" customHeight="1">
      <c r="A111" s="448">
        <v>0</v>
      </c>
      <c r="B111" s="456" t="s">
        <v>679</v>
      </c>
      <c r="C111" s="455">
        <v>300</v>
      </c>
      <c r="D111" s="454">
        <f t="shared" si="24"/>
        <v>25</v>
      </c>
      <c r="E111" s="452">
        <v>45.4</v>
      </c>
      <c r="F111" s="466">
        <f t="shared" si="25"/>
        <v>41.4</v>
      </c>
      <c r="G111" s="603">
        <f t="shared" si="26"/>
        <v>1035</v>
      </c>
      <c r="H111" s="487"/>
      <c r="I111" s="466"/>
      <c r="J111" s="467"/>
      <c r="K111" s="862"/>
    </row>
    <row r="112" spans="1:11" ht="22.5" customHeight="1">
      <c r="A112" s="448">
        <v>0</v>
      </c>
      <c r="B112" s="456" t="s">
        <v>679</v>
      </c>
      <c r="C112" s="455">
        <v>325</v>
      </c>
      <c r="D112" s="454">
        <f t="shared" si="24"/>
        <v>25</v>
      </c>
      <c r="E112" s="452">
        <v>35.78</v>
      </c>
      <c r="F112" s="466">
        <f t="shared" si="25"/>
        <v>40.59</v>
      </c>
      <c r="G112" s="603">
        <f t="shared" si="26"/>
        <v>1015</v>
      </c>
      <c r="H112" s="487"/>
      <c r="I112" s="466"/>
      <c r="J112" s="467"/>
      <c r="K112" s="862"/>
    </row>
    <row r="113" spans="1:11" ht="22.5" customHeight="1">
      <c r="A113" s="448">
        <v>0</v>
      </c>
      <c r="B113" s="456" t="s">
        <v>679</v>
      </c>
      <c r="C113" s="455">
        <v>350</v>
      </c>
      <c r="D113" s="454">
        <f t="shared" si="24"/>
        <v>25</v>
      </c>
      <c r="E113" s="452">
        <v>54</v>
      </c>
      <c r="F113" s="466">
        <f t="shared" si="25"/>
        <v>44.89</v>
      </c>
      <c r="G113" s="603">
        <f t="shared" si="26"/>
        <v>1122</v>
      </c>
      <c r="H113" s="487"/>
      <c r="I113" s="466"/>
      <c r="J113" s="467"/>
      <c r="K113" s="862"/>
    </row>
    <row r="114" spans="1:11" ht="22.5" customHeight="1">
      <c r="A114" s="448">
        <v>0</v>
      </c>
      <c r="B114" s="456" t="s">
        <v>679</v>
      </c>
      <c r="C114" s="455">
        <v>375</v>
      </c>
      <c r="D114" s="454">
        <f t="shared" si="24"/>
        <v>25</v>
      </c>
      <c r="E114" s="452">
        <v>65.16</v>
      </c>
      <c r="F114" s="466">
        <f t="shared" si="25"/>
        <v>59.58</v>
      </c>
      <c r="G114" s="603">
        <f t="shared" si="26"/>
        <v>1490</v>
      </c>
      <c r="H114" s="487"/>
      <c r="I114" s="466"/>
      <c r="J114" s="467"/>
      <c r="K114" s="862"/>
    </row>
    <row r="115" spans="1:11" ht="22.5" customHeight="1">
      <c r="A115" s="448">
        <v>0</v>
      </c>
      <c r="B115" s="456" t="s">
        <v>679</v>
      </c>
      <c r="C115" s="455">
        <v>400</v>
      </c>
      <c r="D115" s="454">
        <f t="shared" si="24"/>
        <v>25</v>
      </c>
      <c r="E115" s="452">
        <v>66.81</v>
      </c>
      <c r="F115" s="466">
        <f t="shared" si="25"/>
        <v>65.99</v>
      </c>
      <c r="G115" s="603">
        <f t="shared" si="26"/>
        <v>1650</v>
      </c>
      <c r="H115" s="487"/>
      <c r="I115" s="466"/>
      <c r="J115" s="467"/>
      <c r="K115" s="862"/>
    </row>
    <row r="116" spans="1:11" ht="22.5" customHeight="1">
      <c r="A116" s="448">
        <v>0</v>
      </c>
      <c r="B116" s="456" t="s">
        <v>679</v>
      </c>
      <c r="C116" s="455">
        <v>425</v>
      </c>
      <c r="D116" s="454">
        <f t="shared" si="24"/>
        <v>25</v>
      </c>
      <c r="E116" s="452">
        <v>59.3</v>
      </c>
      <c r="F116" s="466">
        <f t="shared" si="25"/>
        <v>63.06</v>
      </c>
      <c r="G116" s="603">
        <f t="shared" si="26"/>
        <v>1577</v>
      </c>
      <c r="H116" s="487"/>
      <c r="I116" s="466"/>
      <c r="J116" s="467"/>
      <c r="K116" s="862"/>
    </row>
    <row r="117" spans="1:11" ht="22.5" customHeight="1">
      <c r="A117" s="448">
        <v>0</v>
      </c>
      <c r="B117" s="456" t="s">
        <v>679</v>
      </c>
      <c r="C117" s="1111">
        <v>428.5</v>
      </c>
      <c r="D117" s="454">
        <f t="shared" si="24"/>
        <v>3.5</v>
      </c>
      <c r="E117" s="452">
        <v>59.41</v>
      </c>
      <c r="F117" s="466">
        <f t="shared" si="25"/>
        <v>59.36</v>
      </c>
      <c r="G117" s="603">
        <f t="shared" si="26"/>
        <v>208</v>
      </c>
      <c r="H117" s="487"/>
      <c r="I117" s="466"/>
      <c r="J117" s="467"/>
      <c r="K117" s="862"/>
    </row>
    <row r="118" spans="1:11" ht="22.5" customHeight="1" thickBot="1">
      <c r="A118" s="604"/>
      <c r="B118" s="1113"/>
      <c r="C118" s="1119"/>
      <c r="D118" s="606"/>
      <c r="E118" s="876"/>
      <c r="F118" s="607"/>
      <c r="G118" s="877">
        <f>SUM(G98:G117)</f>
        <v>29492</v>
      </c>
      <c r="H118" s="876"/>
      <c r="I118" s="607"/>
      <c r="J118" s="879"/>
      <c r="K118" s="880"/>
    </row>
    <row r="119" spans="1:11" ht="22.5" customHeight="1">
      <c r="A119" s="457"/>
      <c r="B119" s="458"/>
      <c r="C119" s="458"/>
      <c r="D119" s="459"/>
      <c r="E119" s="460"/>
      <c r="F119" s="461"/>
      <c r="G119" s="461"/>
      <c r="H119" s="460"/>
      <c r="I119" s="461"/>
      <c r="J119" s="461"/>
      <c r="K119" s="460"/>
    </row>
    <row r="120" spans="1:10" ht="22.5" customHeight="1">
      <c r="A120" s="29" t="s">
        <v>542</v>
      </c>
      <c r="B120" s="136"/>
      <c r="C120" s="136"/>
      <c r="D120" s="136"/>
      <c r="E120" s="136"/>
      <c r="F120" s="136"/>
      <c r="G120" s="136"/>
      <c r="H120" s="136"/>
      <c r="I120" s="29" t="s">
        <v>543</v>
      </c>
      <c r="J120" s="136"/>
    </row>
    <row r="121" spans="1:11" ht="24.75" customHeight="1">
      <c r="A121" s="1508" t="str">
        <f>A90</f>
        <v>經濟部水利署第十河川局</v>
      </c>
      <c r="B121" s="1508"/>
      <c r="C121" s="1508"/>
      <c r="D121" s="1508"/>
      <c r="E121" s="1508"/>
      <c r="F121" s="1508"/>
      <c r="G121" s="1508"/>
      <c r="H121" s="1508"/>
      <c r="I121" s="1508"/>
      <c r="J121" s="1508"/>
      <c r="K121" s="1508"/>
    </row>
    <row r="122" spans="1:11" ht="24.75" customHeight="1">
      <c r="A122" s="1509" t="str">
        <f>A91</f>
        <v>土 方 計 算 表</v>
      </c>
      <c r="B122" s="1509"/>
      <c r="C122" s="1509"/>
      <c r="D122" s="1509"/>
      <c r="E122" s="1509"/>
      <c r="F122" s="1509"/>
      <c r="G122" s="1509"/>
      <c r="H122" s="1509"/>
      <c r="I122" s="1509"/>
      <c r="J122" s="1509"/>
      <c r="K122" s="1509"/>
    </row>
    <row r="123" spans="1:11" ht="24.75" customHeight="1">
      <c r="A123" s="1510" t="str">
        <f>A92</f>
        <v>工程名稱:基隆河整體治理計劃（前期計劃）瑞芳區塊介壽橋下游左右岸護岸工程</v>
      </c>
      <c r="B123" s="1511"/>
      <c r="C123" s="1511"/>
      <c r="D123" s="1511"/>
      <c r="E123" s="1511"/>
      <c r="F123" s="1511"/>
      <c r="G123" s="1512"/>
      <c r="H123" s="1512"/>
      <c r="I123" s="1512"/>
      <c r="J123" s="1512"/>
      <c r="K123" s="1512"/>
    </row>
    <row r="124" spans="1:11" ht="24.75" customHeight="1" thickBot="1">
      <c r="A124" s="27" t="str">
        <f>A93</f>
        <v>施工地點：台北縣瑞芳鎮</v>
      </c>
      <c r="B124" s="442"/>
      <c r="C124" s="442"/>
      <c r="D124" s="444"/>
      <c r="E124" s="443"/>
      <c r="F124" s="443"/>
      <c r="G124" s="443"/>
      <c r="H124" s="443"/>
      <c r="I124" s="443"/>
      <c r="J124" s="443"/>
      <c r="K124" s="464" t="s">
        <v>1273</v>
      </c>
    </row>
    <row r="125" spans="1:11" ht="24.75" customHeight="1" thickBot="1">
      <c r="A125" s="445"/>
      <c r="B125" s="465" t="s">
        <v>649</v>
      </c>
      <c r="C125" s="1518"/>
      <c r="D125" s="486" t="s">
        <v>650</v>
      </c>
      <c r="E125" s="1515" t="s">
        <v>681</v>
      </c>
      <c r="F125" s="1516"/>
      <c r="G125" s="1517"/>
      <c r="H125" s="446"/>
      <c r="I125" s="447"/>
      <c r="J125" s="447"/>
      <c r="K125" s="1520"/>
    </row>
    <row r="126" spans="1:11" ht="24.75" customHeight="1" thickBot="1">
      <c r="A126" s="484"/>
      <c r="B126" s="485" t="s">
        <v>659</v>
      </c>
      <c r="C126" s="1519"/>
      <c r="D126" s="488" t="s">
        <v>653</v>
      </c>
      <c r="E126" s="489" t="s">
        <v>654</v>
      </c>
      <c r="F126" s="490" t="s">
        <v>655</v>
      </c>
      <c r="G126" s="491" t="s">
        <v>656</v>
      </c>
      <c r="H126" s="489"/>
      <c r="I126" s="490"/>
      <c r="J126" s="492"/>
      <c r="K126" s="1521"/>
    </row>
    <row r="127" spans="1:11" ht="24.75" customHeight="1">
      <c r="A127" s="600"/>
      <c r="B127" s="601" t="s">
        <v>758</v>
      </c>
      <c r="C127" s="455"/>
      <c r="D127" s="832"/>
      <c r="E127" s="769"/>
      <c r="F127" s="601"/>
      <c r="G127" s="617"/>
      <c r="H127" s="616"/>
      <c r="I127" s="601"/>
      <c r="J127" s="617"/>
      <c r="K127" s="840"/>
    </row>
    <row r="128" spans="1:11" ht="24.75" customHeight="1">
      <c r="A128" s="608">
        <v>0</v>
      </c>
      <c r="B128" s="609" t="s">
        <v>657</v>
      </c>
      <c r="C128" s="455">
        <v>0</v>
      </c>
      <c r="D128" s="618" t="s">
        <v>658</v>
      </c>
      <c r="E128" s="619">
        <v>0.8</v>
      </c>
      <c r="F128" s="620">
        <v>0</v>
      </c>
      <c r="G128" s="621">
        <v>0</v>
      </c>
      <c r="H128" s="619"/>
      <c r="I128" s="622"/>
      <c r="J128" s="623"/>
      <c r="K128" s="871"/>
    </row>
    <row r="129" spans="1:11" ht="24.75" customHeight="1">
      <c r="A129" s="448">
        <v>0</v>
      </c>
      <c r="B129" s="449" t="s">
        <v>657</v>
      </c>
      <c r="C129" s="455">
        <v>25</v>
      </c>
      <c r="D129" s="454">
        <f aca="true" t="shared" si="27" ref="D129:D138">C129-C128</f>
        <v>25</v>
      </c>
      <c r="E129" s="619">
        <v>0.8</v>
      </c>
      <c r="F129" s="466">
        <f aca="true" t="shared" si="28" ref="F129:F134">(E128+E129)/2</f>
        <v>0.8</v>
      </c>
      <c r="G129" s="603">
        <f aca="true" t="shared" si="29" ref="G129:G134">IF(D129="－","－",ROUND(D129*F129,2))</f>
        <v>20</v>
      </c>
      <c r="H129" s="487"/>
      <c r="I129" s="466"/>
      <c r="J129" s="467"/>
      <c r="K129" s="871"/>
    </row>
    <row r="130" spans="1:11" ht="24.75" customHeight="1">
      <c r="A130" s="448">
        <v>0</v>
      </c>
      <c r="B130" s="449" t="s">
        <v>657</v>
      </c>
      <c r="C130" s="455">
        <v>50</v>
      </c>
      <c r="D130" s="454">
        <f t="shared" si="27"/>
        <v>25</v>
      </c>
      <c r="E130" s="619">
        <v>0.8</v>
      </c>
      <c r="F130" s="466">
        <f t="shared" si="28"/>
        <v>0.8</v>
      </c>
      <c r="G130" s="603">
        <f t="shared" si="29"/>
        <v>20</v>
      </c>
      <c r="H130" s="487"/>
      <c r="I130" s="466"/>
      <c r="J130" s="467"/>
      <c r="K130" s="871"/>
    </row>
    <row r="131" spans="1:11" ht="24.75" customHeight="1">
      <c r="A131" s="448">
        <v>0</v>
      </c>
      <c r="B131" s="449" t="s">
        <v>657</v>
      </c>
      <c r="C131" s="455">
        <v>75</v>
      </c>
      <c r="D131" s="454">
        <f t="shared" si="27"/>
        <v>25</v>
      </c>
      <c r="E131" s="619">
        <v>0.8</v>
      </c>
      <c r="F131" s="466">
        <f t="shared" si="28"/>
        <v>0.8</v>
      </c>
      <c r="G131" s="603">
        <f t="shared" si="29"/>
        <v>20</v>
      </c>
      <c r="H131" s="487"/>
      <c r="I131" s="466"/>
      <c r="J131" s="467"/>
      <c r="K131" s="871"/>
    </row>
    <row r="132" spans="1:11" ht="24.75" customHeight="1">
      <c r="A132" s="448">
        <v>0</v>
      </c>
      <c r="B132" s="449" t="s">
        <v>657</v>
      </c>
      <c r="C132" s="455">
        <v>100</v>
      </c>
      <c r="D132" s="454">
        <f t="shared" si="27"/>
        <v>25</v>
      </c>
      <c r="E132" s="619">
        <v>0.8</v>
      </c>
      <c r="F132" s="466">
        <f t="shared" si="28"/>
        <v>0.8</v>
      </c>
      <c r="G132" s="603">
        <f t="shared" si="29"/>
        <v>20</v>
      </c>
      <c r="H132" s="487"/>
      <c r="I132" s="466"/>
      <c r="J132" s="467"/>
      <c r="K132" s="871"/>
    </row>
    <row r="133" spans="1:11" ht="24.75" customHeight="1">
      <c r="A133" s="448">
        <v>0</v>
      </c>
      <c r="B133" s="449" t="s">
        <v>657</v>
      </c>
      <c r="C133" s="455">
        <v>125</v>
      </c>
      <c r="D133" s="454">
        <f t="shared" si="27"/>
        <v>25</v>
      </c>
      <c r="E133" s="619">
        <v>0.8</v>
      </c>
      <c r="F133" s="466">
        <f t="shared" si="28"/>
        <v>0.8</v>
      </c>
      <c r="G133" s="603">
        <f t="shared" si="29"/>
        <v>20</v>
      </c>
      <c r="H133" s="487"/>
      <c r="I133" s="466"/>
      <c r="J133" s="467"/>
      <c r="K133" s="871"/>
    </row>
    <row r="134" spans="1:11" ht="24.75" customHeight="1">
      <c r="A134" s="448">
        <v>0</v>
      </c>
      <c r="B134" s="449" t="s">
        <v>657</v>
      </c>
      <c r="C134" s="450">
        <v>150</v>
      </c>
      <c r="D134" s="454">
        <f t="shared" si="27"/>
        <v>25</v>
      </c>
      <c r="E134" s="619">
        <v>0.8</v>
      </c>
      <c r="F134" s="466">
        <f t="shared" si="28"/>
        <v>0.8</v>
      </c>
      <c r="G134" s="603">
        <f t="shared" si="29"/>
        <v>20</v>
      </c>
      <c r="H134" s="487"/>
      <c r="I134" s="466"/>
      <c r="J134" s="467"/>
      <c r="K134" s="871"/>
    </row>
    <row r="135" spans="1:11" ht="24.75" customHeight="1">
      <c r="A135" s="448">
        <v>0</v>
      </c>
      <c r="B135" s="449" t="s">
        <v>657</v>
      </c>
      <c r="C135" s="453">
        <v>175</v>
      </c>
      <c r="D135" s="454">
        <f t="shared" si="27"/>
        <v>25</v>
      </c>
      <c r="E135" s="619">
        <v>0.8</v>
      </c>
      <c r="F135" s="466">
        <f>(E134+E135)/2</f>
        <v>0.8</v>
      </c>
      <c r="G135" s="603">
        <f>IF(D135="－","－",ROUND(D135*F135,2))</f>
        <v>20</v>
      </c>
      <c r="H135" s="487"/>
      <c r="I135" s="466"/>
      <c r="J135" s="467"/>
      <c r="K135" s="871"/>
    </row>
    <row r="136" spans="1:11" ht="24.75" customHeight="1">
      <c r="A136" s="448">
        <v>0</v>
      </c>
      <c r="B136" s="449" t="s">
        <v>657</v>
      </c>
      <c r="C136" s="453">
        <v>200</v>
      </c>
      <c r="D136" s="454">
        <f t="shared" si="27"/>
        <v>25</v>
      </c>
      <c r="E136" s="619">
        <v>0.8</v>
      </c>
      <c r="F136" s="466">
        <f>(E135+E136)/2</f>
        <v>0.8</v>
      </c>
      <c r="G136" s="603">
        <f>IF(D136="－","－",ROUND(D136*F136,2))</f>
        <v>20</v>
      </c>
      <c r="H136" s="487"/>
      <c r="I136" s="466"/>
      <c r="J136" s="467"/>
      <c r="K136" s="871"/>
    </row>
    <row r="137" spans="1:11" ht="24.75" customHeight="1">
      <c r="A137" s="448">
        <v>0</v>
      </c>
      <c r="B137" s="449" t="s">
        <v>657</v>
      </c>
      <c r="C137" s="453">
        <v>225</v>
      </c>
      <c r="D137" s="454">
        <f t="shared" si="27"/>
        <v>25</v>
      </c>
      <c r="E137" s="619">
        <v>0.8</v>
      </c>
      <c r="F137" s="466">
        <f>(E136+E137)/2</f>
        <v>0.8</v>
      </c>
      <c r="G137" s="603">
        <f>IF(D137="－","－",ROUND(D137*F137,2))</f>
        <v>20</v>
      </c>
      <c r="H137" s="487"/>
      <c r="I137" s="466"/>
      <c r="J137" s="467"/>
      <c r="K137" s="871"/>
    </row>
    <row r="138" spans="1:11" ht="24.75" customHeight="1">
      <c r="A138" s="448">
        <v>0</v>
      </c>
      <c r="B138" s="449" t="s">
        <v>657</v>
      </c>
      <c r="C138" s="453">
        <v>247</v>
      </c>
      <c r="D138" s="454">
        <f t="shared" si="27"/>
        <v>22</v>
      </c>
      <c r="E138" s="619">
        <v>0.8</v>
      </c>
      <c r="F138" s="466">
        <f>(E137+E138)/2</f>
        <v>0.8</v>
      </c>
      <c r="G138" s="603">
        <f>IF(D138="－","－",ROUND(D138*F138,2))</f>
        <v>18</v>
      </c>
      <c r="H138" s="487"/>
      <c r="I138" s="466"/>
      <c r="J138" s="467"/>
      <c r="K138" s="871"/>
    </row>
    <row r="139" spans="1:11" ht="24.75" customHeight="1">
      <c r="A139" s="448"/>
      <c r="B139" s="449"/>
      <c r="C139" s="453"/>
      <c r="D139" s="454"/>
      <c r="E139" s="619"/>
      <c r="F139" s="466"/>
      <c r="G139" s="603">
        <f>SUM(G128:G138)</f>
        <v>198</v>
      </c>
      <c r="H139" s="487"/>
      <c r="I139" s="466"/>
      <c r="J139" s="467"/>
      <c r="K139" s="871"/>
    </row>
    <row r="140" spans="1:11" ht="24.75" customHeight="1">
      <c r="A140" s="448"/>
      <c r="B140" s="449"/>
      <c r="C140" s="453"/>
      <c r="D140" s="454"/>
      <c r="E140" s="619"/>
      <c r="F140" s="466"/>
      <c r="G140" s="603"/>
      <c r="H140" s="487"/>
      <c r="I140" s="466"/>
      <c r="J140" s="467"/>
      <c r="K140" s="871"/>
    </row>
    <row r="141" spans="1:11" ht="24.75" customHeight="1">
      <c r="A141" s="448"/>
      <c r="B141" s="449"/>
      <c r="C141" s="453"/>
      <c r="D141" s="454"/>
      <c r="E141" s="619"/>
      <c r="F141" s="466"/>
      <c r="G141" s="603"/>
      <c r="H141" s="487"/>
      <c r="I141" s="466"/>
      <c r="J141" s="467"/>
      <c r="K141" s="871"/>
    </row>
    <row r="142" spans="1:11" ht="24.75" customHeight="1">
      <c r="A142" s="448"/>
      <c r="B142" s="449"/>
      <c r="C142" s="453"/>
      <c r="D142" s="454"/>
      <c r="E142" s="619"/>
      <c r="F142" s="466"/>
      <c r="G142" s="603"/>
      <c r="H142" s="487"/>
      <c r="I142" s="466"/>
      <c r="J142" s="467"/>
      <c r="K142" s="871"/>
    </row>
    <row r="143" spans="1:11" ht="24.75" customHeight="1">
      <c r="A143" s="448"/>
      <c r="B143" s="449"/>
      <c r="C143" s="453"/>
      <c r="D143" s="454"/>
      <c r="E143" s="619"/>
      <c r="F143" s="466"/>
      <c r="G143" s="603"/>
      <c r="H143" s="487"/>
      <c r="I143" s="466"/>
      <c r="J143" s="467"/>
      <c r="K143" s="871"/>
    </row>
    <row r="144" spans="1:11" ht="24.75" customHeight="1">
      <c r="A144" s="448"/>
      <c r="B144" s="449"/>
      <c r="C144" s="453"/>
      <c r="D144" s="454"/>
      <c r="E144" s="619"/>
      <c r="F144" s="466"/>
      <c r="G144" s="603"/>
      <c r="H144" s="487"/>
      <c r="I144" s="466"/>
      <c r="J144" s="467"/>
      <c r="K144" s="871"/>
    </row>
    <row r="145" spans="1:11" ht="24.75" customHeight="1">
      <c r="A145" s="448"/>
      <c r="B145" s="449"/>
      <c r="C145" s="453"/>
      <c r="D145" s="454"/>
      <c r="E145" s="619"/>
      <c r="F145" s="466"/>
      <c r="G145" s="603"/>
      <c r="H145" s="487"/>
      <c r="I145" s="466"/>
      <c r="J145" s="467"/>
      <c r="K145" s="871"/>
    </row>
    <row r="146" spans="1:11" ht="24.75" customHeight="1">
      <c r="A146" s="448"/>
      <c r="B146" s="449"/>
      <c r="C146" s="453"/>
      <c r="D146" s="454"/>
      <c r="E146" s="619"/>
      <c r="F146" s="466"/>
      <c r="G146" s="603"/>
      <c r="H146" s="487"/>
      <c r="I146" s="466"/>
      <c r="J146" s="467"/>
      <c r="K146" s="871"/>
    </row>
    <row r="147" spans="1:11" ht="24.75" customHeight="1" thickBot="1">
      <c r="A147" s="604"/>
      <c r="B147" s="869"/>
      <c r="C147" s="1120"/>
      <c r="D147" s="606"/>
      <c r="E147" s="876"/>
      <c r="F147" s="607"/>
      <c r="G147" s="877"/>
      <c r="H147" s="876"/>
      <c r="I147" s="607"/>
      <c r="J147" s="879"/>
      <c r="K147" s="880"/>
    </row>
    <row r="148" spans="1:11" ht="24.75" customHeight="1">
      <c r="A148" s="457"/>
      <c r="B148" s="458"/>
      <c r="C148" s="458"/>
      <c r="D148" s="459"/>
      <c r="E148" s="460"/>
      <c r="F148" s="461"/>
      <c r="G148" s="461"/>
      <c r="H148" s="460"/>
      <c r="I148" s="461"/>
      <c r="J148" s="461"/>
      <c r="K148" s="460"/>
    </row>
    <row r="149" spans="1:10" ht="24.75" customHeight="1">
      <c r="A149" s="29" t="s">
        <v>542</v>
      </c>
      <c r="B149" s="136"/>
      <c r="C149" s="136"/>
      <c r="D149" s="136"/>
      <c r="E149" s="136"/>
      <c r="F149" s="136"/>
      <c r="G149" s="136"/>
      <c r="H149" s="136"/>
      <c r="I149" s="29" t="s">
        <v>543</v>
      </c>
      <c r="J149" s="136"/>
    </row>
    <row r="150" spans="1:11" ht="24.75" customHeight="1">
      <c r="A150" s="1508" t="str">
        <f>A121</f>
        <v>經濟部水利署第十河川局</v>
      </c>
      <c r="B150" s="1508"/>
      <c r="C150" s="1508"/>
      <c r="D150" s="1508"/>
      <c r="E150" s="1508"/>
      <c r="F150" s="1508"/>
      <c r="G150" s="1508"/>
      <c r="H150" s="1508"/>
      <c r="I150" s="1508"/>
      <c r="J150" s="1508"/>
      <c r="K150" s="1508"/>
    </row>
    <row r="151" spans="1:11" ht="24.75" customHeight="1">
      <c r="A151" s="1509" t="str">
        <f>A122</f>
        <v>土 方 計 算 表</v>
      </c>
      <c r="B151" s="1509"/>
      <c r="C151" s="1509"/>
      <c r="D151" s="1509"/>
      <c r="E151" s="1509"/>
      <c r="F151" s="1509"/>
      <c r="G151" s="1509"/>
      <c r="H151" s="1509"/>
      <c r="I151" s="1509"/>
      <c r="J151" s="1509"/>
      <c r="K151" s="1509"/>
    </row>
    <row r="152" spans="1:11" ht="24.75" customHeight="1">
      <c r="A152" s="1510" t="str">
        <f>A123</f>
        <v>工程名稱:基隆河整體治理計劃（前期計劃）瑞芳區塊介壽橋下游左右岸護岸工程</v>
      </c>
      <c r="B152" s="1511"/>
      <c r="C152" s="1511"/>
      <c r="D152" s="1511"/>
      <c r="E152" s="1511"/>
      <c r="F152" s="1511"/>
      <c r="G152" s="1512"/>
      <c r="H152" s="1512"/>
      <c r="I152" s="1512"/>
      <c r="J152" s="1512"/>
      <c r="K152" s="1512"/>
    </row>
    <row r="153" spans="1:11" ht="24.75" customHeight="1" thickBot="1">
      <c r="A153" s="27" t="str">
        <f>A124</f>
        <v>施工地點：台北縣瑞芳鎮</v>
      </c>
      <c r="B153" s="442"/>
      <c r="C153" s="442"/>
      <c r="D153" s="444"/>
      <c r="E153" s="443"/>
      <c r="F153" s="443"/>
      <c r="G153" s="443"/>
      <c r="H153" s="443"/>
      <c r="I153" s="443"/>
      <c r="J153" s="443"/>
      <c r="K153" s="464" t="s">
        <v>1274</v>
      </c>
    </row>
    <row r="154" spans="1:11" ht="24.75" customHeight="1" thickBot="1">
      <c r="A154" s="445"/>
      <c r="B154" s="465" t="s">
        <v>649</v>
      </c>
      <c r="C154" s="1518"/>
      <c r="D154" s="486" t="s">
        <v>650</v>
      </c>
      <c r="E154" s="1515" t="s">
        <v>681</v>
      </c>
      <c r="F154" s="1516"/>
      <c r="G154" s="1517"/>
      <c r="H154" s="446"/>
      <c r="I154" s="447"/>
      <c r="J154" s="447"/>
      <c r="K154" s="872"/>
    </row>
    <row r="155" spans="1:11" ht="24.75" customHeight="1" thickBot="1">
      <c r="A155" s="484"/>
      <c r="B155" s="485" t="s">
        <v>659</v>
      </c>
      <c r="C155" s="1519"/>
      <c r="D155" s="488" t="s">
        <v>653</v>
      </c>
      <c r="E155" s="489" t="s">
        <v>654</v>
      </c>
      <c r="F155" s="490" t="s">
        <v>655</v>
      </c>
      <c r="G155" s="491" t="s">
        <v>656</v>
      </c>
      <c r="H155" s="489"/>
      <c r="I155" s="490"/>
      <c r="J155" s="492"/>
      <c r="K155" s="873"/>
    </row>
    <row r="156" spans="1:11" ht="24.75" customHeight="1">
      <c r="A156" s="448"/>
      <c r="B156" s="611" t="s">
        <v>759</v>
      </c>
      <c r="C156" s="612"/>
      <c r="D156" s="618"/>
      <c r="E156" s="744"/>
      <c r="F156" s="614"/>
      <c r="G156" s="615"/>
      <c r="H156" s="613"/>
      <c r="I156" s="614"/>
      <c r="J156" s="614"/>
      <c r="K156" s="834"/>
    </row>
    <row r="157" spans="1:11" ht="24.75" customHeight="1">
      <c r="A157" s="448">
        <v>0</v>
      </c>
      <c r="B157" s="482" t="s">
        <v>678</v>
      </c>
      <c r="C157" s="455">
        <v>0</v>
      </c>
      <c r="D157" s="454" t="s">
        <v>658</v>
      </c>
      <c r="E157" s="468">
        <v>7.3</v>
      </c>
      <c r="F157" s="652">
        <v>0</v>
      </c>
      <c r="G157" s="463">
        <v>0</v>
      </c>
      <c r="H157" s="468"/>
      <c r="I157" s="650"/>
      <c r="J157" s="467"/>
      <c r="K157" s="874"/>
    </row>
    <row r="158" spans="1:11" ht="24.75" customHeight="1">
      <c r="A158" s="448">
        <v>0</v>
      </c>
      <c r="B158" s="482" t="s">
        <v>678</v>
      </c>
      <c r="C158" s="455">
        <v>25</v>
      </c>
      <c r="D158" s="454">
        <f aca="true" t="shared" si="30" ref="D158:D164">C158-C157</f>
        <v>25</v>
      </c>
      <c r="E158" s="452">
        <v>6.4</v>
      </c>
      <c r="F158" s="466">
        <f aca="true" t="shared" si="31" ref="F158:F164">(E157+E158)/2</f>
        <v>6.85</v>
      </c>
      <c r="G158" s="603">
        <f aca="true" t="shared" si="32" ref="G158:G164">IF(D158="－","－",ROUND(D158*F158,2))</f>
        <v>171</v>
      </c>
      <c r="H158" s="487"/>
      <c r="I158" s="466"/>
      <c r="J158" s="467"/>
      <c r="K158" s="874"/>
    </row>
    <row r="159" spans="1:11" ht="24.75" customHeight="1">
      <c r="A159" s="448">
        <v>0</v>
      </c>
      <c r="B159" s="482" t="s">
        <v>679</v>
      </c>
      <c r="C159" s="455">
        <v>50</v>
      </c>
      <c r="D159" s="454">
        <f t="shared" si="30"/>
        <v>25</v>
      </c>
      <c r="E159" s="452">
        <v>7.4</v>
      </c>
      <c r="F159" s="466">
        <f t="shared" si="31"/>
        <v>6.9</v>
      </c>
      <c r="G159" s="603">
        <f t="shared" si="32"/>
        <v>173</v>
      </c>
      <c r="H159" s="487"/>
      <c r="I159" s="466"/>
      <c r="J159" s="467"/>
      <c r="K159" s="874"/>
    </row>
    <row r="160" spans="1:11" ht="24.75" customHeight="1">
      <c r="A160" s="448">
        <v>0</v>
      </c>
      <c r="B160" s="482" t="s">
        <v>679</v>
      </c>
      <c r="C160" s="455">
        <v>75</v>
      </c>
      <c r="D160" s="454">
        <f t="shared" si="30"/>
        <v>25</v>
      </c>
      <c r="E160" s="452">
        <v>7.4</v>
      </c>
      <c r="F160" s="466">
        <f t="shared" si="31"/>
        <v>7.4</v>
      </c>
      <c r="G160" s="603">
        <f t="shared" si="32"/>
        <v>185</v>
      </c>
      <c r="H160" s="487"/>
      <c r="I160" s="466"/>
      <c r="J160" s="467"/>
      <c r="K160" s="874"/>
    </row>
    <row r="161" spans="1:11" ht="24.75" customHeight="1">
      <c r="A161" s="448">
        <v>0</v>
      </c>
      <c r="B161" s="482" t="s">
        <v>679</v>
      </c>
      <c r="C161" s="455">
        <v>100</v>
      </c>
      <c r="D161" s="454">
        <f t="shared" si="30"/>
        <v>25</v>
      </c>
      <c r="E161" s="452">
        <v>7.4</v>
      </c>
      <c r="F161" s="466">
        <f t="shared" si="31"/>
        <v>7.4</v>
      </c>
      <c r="G161" s="603">
        <f t="shared" si="32"/>
        <v>185</v>
      </c>
      <c r="H161" s="487"/>
      <c r="I161" s="466"/>
      <c r="J161" s="467"/>
      <c r="K161" s="874"/>
    </row>
    <row r="162" spans="1:11" ht="24.75" customHeight="1">
      <c r="A162" s="448">
        <v>0</v>
      </c>
      <c r="B162" s="456" t="s">
        <v>679</v>
      </c>
      <c r="C162" s="455">
        <v>125</v>
      </c>
      <c r="D162" s="454">
        <f t="shared" si="30"/>
        <v>25</v>
      </c>
      <c r="E162" s="452">
        <v>7.4</v>
      </c>
      <c r="F162" s="466">
        <f t="shared" si="31"/>
        <v>7.4</v>
      </c>
      <c r="G162" s="603">
        <f t="shared" si="32"/>
        <v>185</v>
      </c>
      <c r="H162" s="487"/>
      <c r="I162" s="466"/>
      <c r="J162" s="467"/>
      <c r="K162" s="874"/>
    </row>
    <row r="163" spans="1:11" ht="24.75" customHeight="1">
      <c r="A163" s="448">
        <v>0</v>
      </c>
      <c r="B163" s="456" t="s">
        <v>679</v>
      </c>
      <c r="C163" s="450">
        <v>150</v>
      </c>
      <c r="D163" s="454">
        <f t="shared" si="30"/>
        <v>25</v>
      </c>
      <c r="E163" s="452">
        <v>7.4</v>
      </c>
      <c r="F163" s="466">
        <f t="shared" si="31"/>
        <v>7.4</v>
      </c>
      <c r="G163" s="603">
        <f t="shared" si="32"/>
        <v>185</v>
      </c>
      <c r="H163" s="487"/>
      <c r="I163" s="466"/>
      <c r="J163" s="467"/>
      <c r="K163" s="874"/>
    </row>
    <row r="164" spans="1:11" ht="24.75" customHeight="1">
      <c r="A164" s="448">
        <v>0</v>
      </c>
      <c r="B164" s="456" t="s">
        <v>679</v>
      </c>
      <c r="C164" s="1110">
        <v>175.63</v>
      </c>
      <c r="D164" s="1112">
        <f t="shared" si="30"/>
        <v>25.63</v>
      </c>
      <c r="E164" s="452">
        <v>7.4</v>
      </c>
      <c r="F164" s="466">
        <f t="shared" si="31"/>
        <v>7.4</v>
      </c>
      <c r="G164" s="603">
        <f t="shared" si="32"/>
        <v>190</v>
      </c>
      <c r="H164" s="487"/>
      <c r="I164" s="466"/>
      <c r="J164" s="467"/>
      <c r="K164" s="874"/>
    </row>
    <row r="165" spans="1:11" ht="24.75" customHeight="1">
      <c r="A165" s="1513"/>
      <c r="B165" s="1514"/>
      <c r="C165" s="1514"/>
      <c r="D165" s="835"/>
      <c r="E165" s="830"/>
      <c r="F165" s="614"/>
      <c r="G165" s="615">
        <f>SUM(G157:G164)</f>
        <v>1274</v>
      </c>
      <c r="H165" s="830"/>
      <c r="I165" s="836"/>
      <c r="J165" s="615"/>
      <c r="K165" s="837"/>
    </row>
    <row r="166" spans="1:11" ht="24.75" customHeight="1">
      <c r="A166" s="1527" t="s">
        <v>907</v>
      </c>
      <c r="B166" s="1528"/>
      <c r="C166" s="1529"/>
      <c r="D166" s="841" t="s">
        <v>908</v>
      </c>
      <c r="E166" s="1530">
        <f>G118+G139+G165</f>
        <v>30964</v>
      </c>
      <c r="F166" s="1531"/>
      <c r="G166" s="603"/>
      <c r="H166" s="487"/>
      <c r="I166" s="466"/>
      <c r="J166" s="467"/>
      <c r="K166" s="874"/>
    </row>
    <row r="167" spans="1:11" ht="24.75" customHeight="1">
      <c r="A167" s="608"/>
      <c r="B167" s="609"/>
      <c r="C167" s="610"/>
      <c r="D167" s="618"/>
      <c r="E167" s="619"/>
      <c r="F167" s="620"/>
      <c r="G167" s="621"/>
      <c r="H167" s="619"/>
      <c r="I167" s="622"/>
      <c r="J167" s="623"/>
      <c r="K167" s="871"/>
    </row>
    <row r="168" spans="1:11" ht="24.75" customHeight="1">
      <c r="A168" s="448"/>
      <c r="B168" s="449"/>
      <c r="C168" s="455"/>
      <c r="D168" s="454"/>
      <c r="E168" s="452"/>
      <c r="F168" s="466"/>
      <c r="G168" s="603"/>
      <c r="H168" s="487"/>
      <c r="I168" s="466"/>
      <c r="J168" s="467"/>
      <c r="K168" s="871"/>
    </row>
    <row r="169" spans="1:11" ht="24.75" customHeight="1">
      <c r="A169" s="448"/>
      <c r="B169" s="449"/>
      <c r="C169" s="455"/>
      <c r="D169" s="454"/>
      <c r="E169" s="771" t="s">
        <v>173</v>
      </c>
      <c r="F169" s="620"/>
      <c r="G169" s="620"/>
      <c r="H169" s="770"/>
      <c r="I169" s="770"/>
      <c r="J169" s="881"/>
      <c r="K169" s="871"/>
    </row>
    <row r="170" spans="1:11" ht="24.75" customHeight="1">
      <c r="A170" s="448"/>
      <c r="B170" s="449"/>
      <c r="C170" s="455"/>
      <c r="D170" s="454"/>
      <c r="E170" s="772" t="s">
        <v>111</v>
      </c>
      <c r="F170" s="466"/>
      <c r="G170" s="709"/>
      <c r="H170" s="769"/>
      <c r="I170" s="466"/>
      <c r="J170" s="882"/>
      <c r="K170" s="871"/>
    </row>
    <row r="171" spans="1:11" ht="24.75" customHeight="1">
      <c r="A171" s="448"/>
      <c r="B171" s="449"/>
      <c r="C171" s="455"/>
      <c r="D171" s="454"/>
      <c r="E171" s="772" t="s">
        <v>853</v>
      </c>
      <c r="F171" s="462">
        <f>E80</f>
        <v>15017</v>
      </c>
      <c r="G171" s="709"/>
      <c r="H171" s="769"/>
      <c r="I171" s="466"/>
      <c r="J171" s="882"/>
      <c r="K171" s="871"/>
    </row>
    <row r="172" spans="1:11" ht="24.75" customHeight="1">
      <c r="A172" s="448"/>
      <c r="B172" s="449"/>
      <c r="C172" s="455"/>
      <c r="D172" s="454"/>
      <c r="E172" s="772" t="s">
        <v>854</v>
      </c>
      <c r="F172" s="775">
        <f>E166</f>
        <v>30964</v>
      </c>
      <c r="G172" s="709"/>
      <c r="H172" s="769"/>
      <c r="I172" s="466"/>
      <c r="J172" s="882"/>
      <c r="K172" s="871"/>
    </row>
    <row r="173" spans="1:11" ht="24.75" customHeight="1">
      <c r="A173" s="448"/>
      <c r="B173" s="449"/>
      <c r="C173" s="455"/>
      <c r="D173" s="454"/>
      <c r="E173" s="772" t="s">
        <v>174</v>
      </c>
      <c r="F173" s="466"/>
      <c r="G173" s="776"/>
      <c r="H173" s="776"/>
      <c r="I173" s="466"/>
      <c r="J173" s="882"/>
      <c r="K173" s="871"/>
    </row>
    <row r="174" spans="1:11" ht="24.75" customHeight="1">
      <c r="A174" s="448"/>
      <c r="B174" s="449"/>
      <c r="C174" s="455"/>
      <c r="D174" s="454"/>
      <c r="E174" s="772" t="s">
        <v>1161</v>
      </c>
      <c r="F174" s="614"/>
      <c r="G174" s="615"/>
      <c r="H174" s="613"/>
      <c r="I174" s="614"/>
      <c r="J174" s="882"/>
      <c r="K174" s="871"/>
    </row>
    <row r="175" spans="1:11" ht="24.75" customHeight="1">
      <c r="A175" s="710"/>
      <c r="B175" s="1522"/>
      <c r="C175" s="1523"/>
      <c r="D175" s="1524"/>
      <c r="E175" s="1525"/>
      <c r="F175" s="711"/>
      <c r="G175" s="711"/>
      <c r="H175" s="712"/>
      <c r="I175" s="1526"/>
      <c r="J175" s="1525"/>
      <c r="K175" s="875"/>
    </row>
    <row r="176" spans="1:11" ht="24.75" customHeight="1" thickBot="1">
      <c r="A176" s="713" t="s">
        <v>806</v>
      </c>
      <c r="B176" s="714"/>
      <c r="C176" s="715"/>
      <c r="D176" s="716"/>
      <c r="E176" s="717"/>
      <c r="F176" s="718"/>
      <c r="G176" s="718"/>
      <c r="H176" s="717"/>
      <c r="I176" s="718"/>
      <c r="J176" s="718"/>
      <c r="K176" s="719"/>
    </row>
    <row r="177" spans="1:11" ht="24.75" customHeight="1">
      <c r="A177" s="457"/>
      <c r="B177" s="458"/>
      <c r="C177" s="458"/>
      <c r="D177" s="459"/>
      <c r="E177" s="460"/>
      <c r="F177" s="461"/>
      <c r="G177" s="461"/>
      <c r="H177" s="460"/>
      <c r="I177" s="461"/>
      <c r="J177" s="461"/>
      <c r="K177" s="460"/>
    </row>
    <row r="178" spans="1:10" ht="24.75" customHeight="1">
      <c r="A178" s="29" t="s">
        <v>542</v>
      </c>
      <c r="B178" s="136"/>
      <c r="C178" s="136"/>
      <c r="D178" s="136"/>
      <c r="E178" s="136"/>
      <c r="F178" s="136"/>
      <c r="G178" s="136"/>
      <c r="H178" s="136"/>
      <c r="I178" s="29" t="s">
        <v>543</v>
      </c>
      <c r="J178" s="136"/>
    </row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</sheetData>
  <mergeCells count="45">
    <mergeCell ref="A90:K90"/>
    <mergeCell ref="E80:F80"/>
    <mergeCell ref="A79:C79"/>
    <mergeCell ref="A80:C80"/>
    <mergeCell ref="A76:C76"/>
    <mergeCell ref="E79:F79"/>
    <mergeCell ref="A63:K63"/>
    <mergeCell ref="C65:C66"/>
    <mergeCell ref="K65:K66"/>
    <mergeCell ref="C36:C37"/>
    <mergeCell ref="K36:K37"/>
    <mergeCell ref="A61:K61"/>
    <mergeCell ref="A62:K62"/>
    <mergeCell ref="A91:K91"/>
    <mergeCell ref="A92:K92"/>
    <mergeCell ref="K94:K95"/>
    <mergeCell ref="E94:G94"/>
    <mergeCell ref="C94:C95"/>
    <mergeCell ref="A1:K1"/>
    <mergeCell ref="C5:C6"/>
    <mergeCell ref="A78:C78"/>
    <mergeCell ref="E78:F78"/>
    <mergeCell ref="A2:K2"/>
    <mergeCell ref="K5:K6"/>
    <mergeCell ref="A3:K3"/>
    <mergeCell ref="A32:K32"/>
    <mergeCell ref="A33:K33"/>
    <mergeCell ref="A34:K34"/>
    <mergeCell ref="K125:K126"/>
    <mergeCell ref="B175:C175"/>
    <mergeCell ref="D175:E175"/>
    <mergeCell ref="I175:J175"/>
    <mergeCell ref="C154:C155"/>
    <mergeCell ref="A166:C166"/>
    <mergeCell ref="E166:F166"/>
    <mergeCell ref="A121:K121"/>
    <mergeCell ref="A122:K122"/>
    <mergeCell ref="A123:K123"/>
    <mergeCell ref="A165:C165"/>
    <mergeCell ref="E154:G154"/>
    <mergeCell ref="A150:K150"/>
    <mergeCell ref="A151:K151"/>
    <mergeCell ref="A152:K152"/>
    <mergeCell ref="C125:C126"/>
    <mergeCell ref="E125:G1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12"/>
  <sheetViews>
    <sheetView showGridLines="0" view="pageBreakPreview" zoomScaleSheetLayoutView="100" workbookViewId="0" topLeftCell="A977">
      <selection activeCell="G5" sqref="G5"/>
    </sheetView>
  </sheetViews>
  <sheetFormatPr defaultColWidth="9.00390625" defaultRowHeight="16.5"/>
  <cols>
    <col min="1" max="1" width="13.75390625" style="4" customWidth="1"/>
    <col min="2" max="2" width="7.375" style="4" customWidth="1"/>
    <col min="3" max="3" width="10.625" style="4" customWidth="1"/>
    <col min="4" max="4" width="6.75390625" style="4" customWidth="1"/>
    <col min="5" max="5" width="9.75390625" style="4" customWidth="1"/>
    <col min="6" max="6" width="16.75390625" style="4" customWidth="1"/>
    <col min="7" max="7" width="12.625" style="4" customWidth="1"/>
    <col min="8" max="8" width="11.75390625" style="0" customWidth="1"/>
  </cols>
  <sheetData>
    <row r="1" spans="1:8" s="249" customFormat="1" ht="24.75" customHeight="1">
      <c r="A1" s="238" t="str">
        <f>'預算書總表'!A1</f>
        <v>經濟部水利署第十河川局</v>
      </c>
      <c r="B1" s="430"/>
      <c r="C1" s="430"/>
      <c r="D1" s="430"/>
      <c r="E1" s="430"/>
      <c r="F1" s="430"/>
      <c r="G1" s="430"/>
      <c r="H1" s="430"/>
    </row>
    <row r="2" spans="1:8" s="249" customFormat="1" ht="24.75" customHeight="1">
      <c r="A2" s="239" t="s">
        <v>435</v>
      </c>
      <c r="B2" s="430"/>
      <c r="C2" s="430"/>
      <c r="D2" s="430"/>
      <c r="E2" s="430"/>
      <c r="F2" s="430"/>
      <c r="G2" s="430"/>
      <c r="H2" s="430"/>
    </row>
    <row r="3" spans="1:8" s="733" customFormat="1" ht="24.75" customHeight="1">
      <c r="A3" s="1510" t="str">
        <f>data!F1</f>
        <v>工程名稱:基隆河整體治理計劃（前期計劃）瑞芳區塊介壽橋下游左右岸護岸工程</v>
      </c>
      <c r="B3" s="1510"/>
      <c r="C3" s="1510"/>
      <c r="D3" s="1510"/>
      <c r="E3" s="1510"/>
      <c r="F3" s="1510"/>
      <c r="G3" s="1510"/>
      <c r="H3" s="253" t="s">
        <v>1065</v>
      </c>
    </row>
    <row r="4" spans="1:8" s="249" customFormat="1" ht="24.75" customHeight="1" thickBot="1">
      <c r="A4" s="1545" t="str">
        <f>data!C1</f>
        <v>施工地點：台北縣瑞芳鎮</v>
      </c>
      <c r="B4" s="1545"/>
      <c r="C4" s="1545"/>
      <c r="D4" s="1545"/>
      <c r="E4" s="431"/>
      <c r="F4" s="431"/>
      <c r="G4" s="1573" t="s">
        <v>31</v>
      </c>
      <c r="H4" s="1573"/>
    </row>
    <row r="5" spans="1:8" ht="24.75" customHeight="1">
      <c r="A5" s="407" t="s">
        <v>565</v>
      </c>
      <c r="B5" s="342">
        <v>1</v>
      </c>
      <c r="C5" s="344" t="s">
        <v>442</v>
      </c>
      <c r="D5" s="419" t="s">
        <v>150</v>
      </c>
      <c r="E5" s="277"/>
      <c r="F5" s="277"/>
      <c r="G5" s="52" t="s">
        <v>468</v>
      </c>
      <c r="H5" s="280" t="s">
        <v>566</v>
      </c>
    </row>
    <row r="6" spans="1:8" ht="24.75" customHeight="1">
      <c r="A6" s="1600" t="s">
        <v>559</v>
      </c>
      <c r="B6" s="1601"/>
      <c r="C6" s="50" t="s">
        <v>469</v>
      </c>
      <c r="D6" s="420" t="s">
        <v>470</v>
      </c>
      <c r="E6" s="38" t="s">
        <v>471</v>
      </c>
      <c r="F6" s="417" t="s">
        <v>472</v>
      </c>
      <c r="G6" s="38" t="s">
        <v>473</v>
      </c>
      <c r="H6" s="51" t="s">
        <v>474</v>
      </c>
    </row>
    <row r="7" spans="1:8" ht="24.75" customHeight="1">
      <c r="A7" s="1592" t="s">
        <v>144</v>
      </c>
      <c r="B7" s="1593"/>
      <c r="C7" s="955" t="s">
        <v>141</v>
      </c>
      <c r="D7" s="40" t="s">
        <v>414</v>
      </c>
      <c r="E7" s="219">
        <v>1</v>
      </c>
      <c r="F7" s="48" t="s">
        <v>475</v>
      </c>
      <c r="G7" s="48">
        <v>1600</v>
      </c>
      <c r="H7" s="207"/>
    </row>
    <row r="8" spans="1:8" ht="24.75" customHeight="1">
      <c r="A8" s="1608" t="s">
        <v>581</v>
      </c>
      <c r="B8" s="1609"/>
      <c r="C8" s="325" t="s">
        <v>582</v>
      </c>
      <c r="D8" s="38" t="s">
        <v>467</v>
      </c>
      <c r="E8" s="233">
        <v>0.08</v>
      </c>
      <c r="F8" s="48">
        <v>900</v>
      </c>
      <c r="G8" s="48">
        <f>F8*E8</f>
        <v>72</v>
      </c>
      <c r="H8" s="207"/>
    </row>
    <row r="9" spans="1:8" ht="24.75" customHeight="1">
      <c r="A9" s="1608" t="s">
        <v>581</v>
      </c>
      <c r="B9" s="1610"/>
      <c r="C9" s="326" t="s">
        <v>583</v>
      </c>
      <c r="D9" s="40" t="s">
        <v>467</v>
      </c>
      <c r="E9" s="233">
        <v>0.3</v>
      </c>
      <c r="F9" s="48">
        <v>700</v>
      </c>
      <c r="G9" s="48">
        <f>F9*E9</f>
        <v>210</v>
      </c>
      <c r="H9" s="207" t="s">
        <v>603</v>
      </c>
    </row>
    <row r="10" spans="1:8" ht="24.75" customHeight="1">
      <c r="A10" s="1608" t="s">
        <v>572</v>
      </c>
      <c r="B10" s="1610"/>
      <c r="C10" s="422"/>
      <c r="D10" s="40" t="s">
        <v>414</v>
      </c>
      <c r="E10" s="48">
        <v>1</v>
      </c>
      <c r="F10" s="48" t="s">
        <v>475</v>
      </c>
      <c r="G10" s="48">
        <v>24</v>
      </c>
      <c r="H10" s="207" t="s">
        <v>573</v>
      </c>
    </row>
    <row r="11" spans="1:8" ht="24.75" customHeight="1">
      <c r="A11" s="1608" t="s">
        <v>574</v>
      </c>
      <c r="B11" s="1610"/>
      <c r="C11" s="643" t="s">
        <v>575</v>
      </c>
      <c r="D11" s="40" t="s">
        <v>576</v>
      </c>
      <c r="E11" s="48">
        <v>1</v>
      </c>
      <c r="F11" s="48" t="s">
        <v>475</v>
      </c>
      <c r="G11" s="48">
        <v>4</v>
      </c>
      <c r="H11" s="207"/>
    </row>
    <row r="12" spans="1:8" ht="24.75" customHeight="1">
      <c r="A12" s="1608" t="s">
        <v>577</v>
      </c>
      <c r="B12" s="1610"/>
      <c r="C12" s="49"/>
      <c r="D12" s="208"/>
      <c r="E12" s="208"/>
      <c r="F12" s="208"/>
      <c r="G12" s="48">
        <f>SUM(G7:G11)</f>
        <v>1910</v>
      </c>
      <c r="H12" s="209"/>
    </row>
    <row r="13" spans="1:8" ht="24.75" customHeight="1">
      <c r="A13" s="416"/>
      <c r="B13" s="878"/>
      <c r="C13" s="49"/>
      <c r="D13" s="208"/>
      <c r="E13" s="208"/>
      <c r="F13" s="208"/>
      <c r="G13" s="48"/>
      <c r="H13" s="209"/>
    </row>
    <row r="14" spans="1:8" ht="24.75" customHeight="1">
      <c r="A14" s="416"/>
      <c r="B14" s="878"/>
      <c r="C14" s="49"/>
      <c r="D14" s="208"/>
      <c r="E14" s="208"/>
      <c r="F14" s="208"/>
      <c r="G14" s="48"/>
      <c r="H14" s="209"/>
    </row>
    <row r="15" spans="1:8" ht="24.75" customHeight="1">
      <c r="A15" s="416"/>
      <c r="B15" s="878"/>
      <c r="C15" s="49"/>
      <c r="D15" s="208"/>
      <c r="E15" s="208"/>
      <c r="F15" s="208"/>
      <c r="G15" s="48"/>
      <c r="H15" s="209"/>
    </row>
    <row r="16" spans="1:8" ht="24.75" customHeight="1">
      <c r="A16" s="1532"/>
      <c r="B16" s="1533"/>
      <c r="C16" s="49"/>
      <c r="D16" s="208"/>
      <c r="E16" s="208"/>
      <c r="F16" s="208"/>
      <c r="G16" s="48"/>
      <c r="H16" s="209"/>
    </row>
    <row r="17" spans="1:8" ht="24.75" customHeight="1" thickBot="1">
      <c r="A17" s="1604"/>
      <c r="B17" s="1605"/>
      <c r="C17" s="1606"/>
      <c r="D17" s="353" t="s">
        <v>589</v>
      </c>
      <c r="E17" s="438" t="s">
        <v>590</v>
      </c>
      <c r="F17" s="439" t="s">
        <v>438</v>
      </c>
      <c r="G17" s="210">
        <f>G12</f>
        <v>1910</v>
      </c>
      <c r="H17" s="211"/>
    </row>
    <row r="18" spans="1:8" ht="24.75" customHeight="1">
      <c r="A18" s="891" t="s">
        <v>565</v>
      </c>
      <c r="B18" s="892">
        <v>2</v>
      </c>
      <c r="C18" s="893" t="s">
        <v>442</v>
      </c>
      <c r="D18" s="894" t="s">
        <v>142</v>
      </c>
      <c r="E18" s="895"/>
      <c r="F18" s="277"/>
      <c r="G18" s="52" t="s">
        <v>468</v>
      </c>
      <c r="H18" s="280" t="s">
        <v>566</v>
      </c>
    </row>
    <row r="19" spans="1:8" ht="24.75" customHeight="1">
      <c r="A19" s="1534" t="s">
        <v>559</v>
      </c>
      <c r="B19" s="1568"/>
      <c r="C19" s="50" t="s">
        <v>469</v>
      </c>
      <c r="D19" s="896" t="s">
        <v>470</v>
      </c>
      <c r="E19" s="897" t="s">
        <v>471</v>
      </c>
      <c r="F19" s="408" t="s">
        <v>472</v>
      </c>
      <c r="G19" s="897" t="s">
        <v>473</v>
      </c>
      <c r="H19" s="898" t="s">
        <v>474</v>
      </c>
    </row>
    <row r="20" spans="1:8" ht="24.75" customHeight="1">
      <c r="A20" s="1560" t="s">
        <v>143</v>
      </c>
      <c r="B20" s="1607"/>
      <c r="C20" s="1388" t="s">
        <v>141</v>
      </c>
      <c r="D20" s="40" t="s">
        <v>414</v>
      </c>
      <c r="E20" s="899">
        <v>1</v>
      </c>
      <c r="F20" s="48" t="s">
        <v>475</v>
      </c>
      <c r="G20" s="48">
        <v>1500</v>
      </c>
      <c r="H20" s="207"/>
    </row>
    <row r="21" spans="1:8" ht="24.75" customHeight="1">
      <c r="A21" s="1532" t="s">
        <v>581</v>
      </c>
      <c r="B21" s="1533"/>
      <c r="C21" s="325" t="s">
        <v>582</v>
      </c>
      <c r="D21" s="38" t="s">
        <v>467</v>
      </c>
      <c r="E21" s="233">
        <v>0.08</v>
      </c>
      <c r="F21" s="48">
        <v>900</v>
      </c>
      <c r="G21" s="48">
        <f>F21*E21</f>
        <v>72</v>
      </c>
      <c r="H21" s="207"/>
    </row>
    <row r="22" spans="1:8" ht="24.75" customHeight="1">
      <c r="A22" s="1532" t="s">
        <v>581</v>
      </c>
      <c r="B22" s="1533"/>
      <c r="C22" s="326" t="s">
        <v>583</v>
      </c>
      <c r="D22" s="40" t="s">
        <v>467</v>
      </c>
      <c r="E22" s="233">
        <v>0.3</v>
      </c>
      <c r="F22" s="48">
        <v>700</v>
      </c>
      <c r="G22" s="48">
        <f>F22*E22</f>
        <v>210</v>
      </c>
      <c r="H22" s="207" t="s">
        <v>603</v>
      </c>
    </row>
    <row r="23" spans="1:8" ht="24.75" customHeight="1">
      <c r="A23" s="1532" t="s">
        <v>572</v>
      </c>
      <c r="B23" s="1533"/>
      <c r="C23" s="900"/>
      <c r="D23" s="40" t="s">
        <v>414</v>
      </c>
      <c r="E23" s="48">
        <v>1</v>
      </c>
      <c r="F23" s="48" t="s">
        <v>475</v>
      </c>
      <c r="G23" s="48">
        <v>24</v>
      </c>
      <c r="H23" s="207" t="s">
        <v>573</v>
      </c>
    </row>
    <row r="24" spans="1:8" ht="24.75" customHeight="1">
      <c r="A24" s="1532" t="s">
        <v>574</v>
      </c>
      <c r="B24" s="1533"/>
      <c r="C24" s="901" t="s">
        <v>575</v>
      </c>
      <c r="D24" s="40" t="s">
        <v>576</v>
      </c>
      <c r="E24" s="48">
        <v>1</v>
      </c>
      <c r="F24" s="48" t="s">
        <v>475</v>
      </c>
      <c r="G24" s="48">
        <v>4</v>
      </c>
      <c r="H24" s="207"/>
    </row>
    <row r="25" spans="1:8" ht="24.75" customHeight="1">
      <c r="A25" s="1539" t="s">
        <v>577</v>
      </c>
      <c r="B25" s="1540"/>
      <c r="C25" s="49"/>
      <c r="D25" s="208"/>
      <c r="E25" s="208"/>
      <c r="F25" s="208"/>
      <c r="G25" s="48">
        <f>SUM(G20:G24)</f>
        <v>1810</v>
      </c>
      <c r="H25" s="209"/>
    </row>
    <row r="26" spans="1:8" ht="24.75" customHeight="1">
      <c r="A26" s="1020"/>
      <c r="B26" s="1021"/>
      <c r="C26" s="49"/>
      <c r="D26" s="208"/>
      <c r="E26" s="208"/>
      <c r="F26" s="208"/>
      <c r="G26" s="902"/>
      <c r="H26" s="903"/>
    </row>
    <row r="27" spans="1:8" ht="24.75" customHeight="1">
      <c r="A27" s="1539"/>
      <c r="B27" s="1540"/>
      <c r="C27" s="49"/>
      <c r="D27" s="208"/>
      <c r="E27" s="208"/>
      <c r="F27" s="208"/>
      <c r="G27" s="902"/>
      <c r="H27" s="903"/>
    </row>
    <row r="28" spans="1:8" ht="24.75" customHeight="1">
      <c r="A28" s="1539"/>
      <c r="B28" s="1540"/>
      <c r="C28" s="49"/>
      <c r="D28" s="208"/>
      <c r="E28" s="208"/>
      <c r="F28" s="208"/>
      <c r="G28" s="902"/>
      <c r="H28" s="903"/>
    </row>
    <row r="29" spans="1:8" ht="24.75" customHeight="1">
      <c r="A29" s="1539"/>
      <c r="B29" s="1540"/>
      <c r="C29" s="49"/>
      <c r="D29" s="208"/>
      <c r="E29" s="208"/>
      <c r="F29" s="208"/>
      <c r="G29" s="902"/>
      <c r="H29" s="903"/>
    </row>
    <row r="30" spans="1:8" ht="24.75" customHeight="1" thickBot="1">
      <c r="A30" s="1579"/>
      <c r="B30" s="1580"/>
      <c r="C30" s="1580"/>
      <c r="D30" s="353" t="s">
        <v>589</v>
      </c>
      <c r="E30" s="438" t="s">
        <v>590</v>
      </c>
      <c r="F30" s="440" t="s">
        <v>438</v>
      </c>
      <c r="G30" s="210">
        <f>G25</f>
        <v>1810</v>
      </c>
      <c r="H30" s="211"/>
    </row>
    <row r="31" spans="1:8" ht="24.75" customHeight="1">
      <c r="A31" s="227"/>
      <c r="B31" s="29"/>
      <c r="C31" s="227"/>
      <c r="D31" s="227"/>
      <c r="E31" s="227"/>
      <c r="F31" s="227"/>
      <c r="G31" s="227"/>
      <c r="H31" s="227"/>
    </row>
    <row r="32" spans="1:8" ht="24.75" customHeight="1">
      <c r="A32" s="29" t="s">
        <v>457</v>
      </c>
      <c r="B32" s="29"/>
      <c r="C32" s="29"/>
      <c r="D32" s="29"/>
      <c r="E32" s="29" t="s">
        <v>458</v>
      </c>
      <c r="F32" s="29"/>
      <c r="G32" s="29"/>
      <c r="H32" s="29"/>
    </row>
    <row r="33" spans="1:8" ht="24.75" customHeight="1">
      <c r="A33" s="238" t="str">
        <f>A1</f>
        <v>經濟部水利署第十河川局</v>
      </c>
      <c r="B33" s="430"/>
      <c r="C33" s="430"/>
      <c r="D33" s="430"/>
      <c r="E33" s="430"/>
      <c r="F33" s="430"/>
      <c r="G33" s="430"/>
      <c r="H33" s="430"/>
    </row>
    <row r="34" spans="1:8" ht="24.75" customHeight="1">
      <c r="A34" s="239" t="str">
        <f>A2</f>
        <v>單  價  分  析  表</v>
      </c>
      <c r="B34" s="430"/>
      <c r="C34" s="430"/>
      <c r="D34" s="430"/>
      <c r="E34" s="430"/>
      <c r="F34" s="430"/>
      <c r="G34" s="430"/>
      <c r="H34" s="430"/>
    </row>
    <row r="35" spans="1:8" ht="24.75" customHeight="1">
      <c r="A35" s="1510" t="str">
        <f>A3</f>
        <v>工程名稱:基隆河整體治理計劃（前期計劃）瑞芳區塊介壽橋下游左右岸護岸工程</v>
      </c>
      <c r="B35" s="1510"/>
      <c r="C35" s="1510"/>
      <c r="D35" s="1510"/>
      <c r="E35" s="1510"/>
      <c r="F35" s="1510"/>
      <c r="G35" s="1510"/>
      <c r="H35" s="253" t="s">
        <v>1065</v>
      </c>
    </row>
    <row r="36" spans="1:8" ht="24.75" customHeight="1" thickBot="1">
      <c r="A36" s="1545" t="str">
        <f>A4</f>
        <v>施工地點：台北縣瑞芳鎮</v>
      </c>
      <c r="B36" s="1545"/>
      <c r="C36" s="1545"/>
      <c r="D36" s="1545"/>
      <c r="E36" s="431"/>
      <c r="F36" s="431"/>
      <c r="G36" s="1573" t="s">
        <v>30</v>
      </c>
      <c r="H36" s="1573"/>
    </row>
    <row r="37" spans="1:8" ht="24.75" customHeight="1">
      <c r="A37" s="358" t="s">
        <v>436</v>
      </c>
      <c r="B37" s="359">
        <v>3</v>
      </c>
      <c r="C37" s="344" t="s">
        <v>442</v>
      </c>
      <c r="D37" s="1576" t="s">
        <v>1030</v>
      </c>
      <c r="E37" s="1577"/>
      <c r="F37" s="1578"/>
      <c r="G37" s="360" t="s">
        <v>468</v>
      </c>
      <c r="H37" s="423" t="s">
        <v>602</v>
      </c>
    </row>
    <row r="38" spans="1:8" ht="24.75" customHeight="1">
      <c r="A38" s="1532" t="s">
        <v>1031</v>
      </c>
      <c r="B38" s="1533"/>
      <c r="C38" s="361" t="s">
        <v>469</v>
      </c>
      <c r="D38" s="361" t="s">
        <v>470</v>
      </c>
      <c r="E38" s="362" t="s">
        <v>471</v>
      </c>
      <c r="F38" s="362" t="s">
        <v>472</v>
      </c>
      <c r="G38" s="362" t="s">
        <v>473</v>
      </c>
      <c r="H38" s="909" t="s">
        <v>474</v>
      </c>
    </row>
    <row r="39" spans="1:8" ht="24.75" customHeight="1">
      <c r="A39" s="1532" t="s">
        <v>843</v>
      </c>
      <c r="B39" s="1533"/>
      <c r="C39" s="1001" t="s">
        <v>1032</v>
      </c>
      <c r="D39" s="366" t="s">
        <v>1033</v>
      </c>
      <c r="E39" s="374">
        <v>10</v>
      </c>
      <c r="F39" s="368">
        <v>140</v>
      </c>
      <c r="G39" s="368">
        <v>1400</v>
      </c>
      <c r="H39" s="1002" t="s">
        <v>1034</v>
      </c>
    </row>
    <row r="40" spans="1:8" ht="24.75" customHeight="1">
      <c r="A40" s="1532" t="s">
        <v>1035</v>
      </c>
      <c r="B40" s="1533"/>
      <c r="C40" s="369"/>
      <c r="D40" s="366" t="s">
        <v>602</v>
      </c>
      <c r="E40" s="374">
        <v>1</v>
      </c>
      <c r="F40" s="374">
        <v>750</v>
      </c>
      <c r="G40" s="368">
        <f>E40*F40</f>
        <v>750</v>
      </c>
      <c r="H40" s="41" t="s">
        <v>357</v>
      </c>
    </row>
    <row r="41" spans="1:8" ht="24.75" customHeight="1">
      <c r="A41" s="1532" t="s">
        <v>1036</v>
      </c>
      <c r="B41" s="1533"/>
      <c r="C41" s="1003"/>
      <c r="D41" s="362" t="s">
        <v>467</v>
      </c>
      <c r="E41" s="374">
        <v>0.09</v>
      </c>
      <c r="F41" s="368">
        <v>800</v>
      </c>
      <c r="G41" s="368">
        <f>E41*F41</f>
        <v>72</v>
      </c>
      <c r="H41" s="41"/>
    </row>
    <row r="42" spans="1:8" ht="24.75" customHeight="1">
      <c r="A42" s="1532" t="s">
        <v>963</v>
      </c>
      <c r="B42" s="1533"/>
      <c r="C42" s="369"/>
      <c r="D42" s="366" t="s">
        <v>467</v>
      </c>
      <c r="E42" s="374">
        <v>0.25</v>
      </c>
      <c r="F42" s="368">
        <v>700</v>
      </c>
      <c r="G42" s="368">
        <f>E42*F42</f>
        <v>175</v>
      </c>
      <c r="H42" s="913"/>
    </row>
    <row r="43" spans="1:8" ht="24.75" customHeight="1">
      <c r="A43" s="1532" t="s">
        <v>1037</v>
      </c>
      <c r="B43" s="1533"/>
      <c r="C43" s="373"/>
      <c r="D43" s="366" t="s">
        <v>414</v>
      </c>
      <c r="E43" s="368">
        <v>1</v>
      </c>
      <c r="F43" s="368" t="s">
        <v>475</v>
      </c>
      <c r="G43" s="368">
        <v>53</v>
      </c>
      <c r="H43" s="913"/>
    </row>
    <row r="44" spans="1:8" ht="24.75" customHeight="1">
      <c r="A44" s="1532" t="s">
        <v>577</v>
      </c>
      <c r="B44" s="1533"/>
      <c r="C44" s="373"/>
      <c r="D44" s="366"/>
      <c r="E44" s="368"/>
      <c r="F44" s="368"/>
      <c r="G44" s="368">
        <f>SUM(G39:G43)</f>
        <v>2450</v>
      </c>
      <c r="H44" s="913"/>
    </row>
    <row r="45" spans="1:8" ht="24.75" customHeight="1">
      <c r="A45" s="371"/>
      <c r="B45" s="1004"/>
      <c r="C45" s="373"/>
      <c r="D45" s="366"/>
      <c r="E45" s="368"/>
      <c r="F45" s="368"/>
      <c r="G45" s="368"/>
      <c r="H45" s="913"/>
    </row>
    <row r="46" spans="1:8" ht="24.75" customHeight="1" thickBot="1">
      <c r="A46" s="1005"/>
      <c r="B46" s="925"/>
      <c r="C46" s="925"/>
      <c r="D46" s="1006" t="s">
        <v>1023</v>
      </c>
      <c r="E46" s="438" t="s">
        <v>590</v>
      </c>
      <c r="F46" s="928" t="s">
        <v>438</v>
      </c>
      <c r="G46" s="929">
        <f>G44</f>
        <v>2450</v>
      </c>
      <c r="H46" s="930"/>
    </row>
    <row r="47" spans="1:8" ht="24.75" customHeight="1">
      <c r="A47" s="591" t="s">
        <v>436</v>
      </c>
      <c r="B47" s="540">
        <v>4</v>
      </c>
      <c r="C47" s="344" t="s">
        <v>442</v>
      </c>
      <c r="D47" s="751" t="s">
        <v>903</v>
      </c>
      <c r="E47" s="751"/>
      <c r="F47" s="829"/>
      <c r="G47" s="625" t="s">
        <v>468</v>
      </c>
      <c r="H47" s="626" t="s">
        <v>884</v>
      </c>
    </row>
    <row r="48" spans="1:8" ht="24.75" customHeight="1">
      <c r="A48" s="1602" t="s">
        <v>559</v>
      </c>
      <c r="B48" s="1603"/>
      <c r="C48" s="754" t="s">
        <v>469</v>
      </c>
      <c r="D48" s="754" t="s">
        <v>470</v>
      </c>
      <c r="E48" s="544" t="s">
        <v>471</v>
      </c>
      <c r="F48" s="544" t="s">
        <v>472</v>
      </c>
      <c r="G48" s="544" t="s">
        <v>473</v>
      </c>
      <c r="H48" s="546" t="s">
        <v>474</v>
      </c>
    </row>
    <row r="49" spans="1:8" ht="24.75" customHeight="1">
      <c r="A49" s="1564" t="s">
        <v>882</v>
      </c>
      <c r="B49" s="1565"/>
      <c r="C49" s="818" t="s">
        <v>883</v>
      </c>
      <c r="D49" s="558" t="s">
        <v>884</v>
      </c>
      <c r="E49" s="819">
        <v>0.021</v>
      </c>
      <c r="F49" s="760">
        <v>10800</v>
      </c>
      <c r="G49" s="760">
        <f>E49*F49/6</f>
        <v>37.8</v>
      </c>
      <c r="H49" s="633" t="s">
        <v>885</v>
      </c>
    </row>
    <row r="50" spans="1:8" ht="24.75" customHeight="1">
      <c r="A50" s="1564" t="s">
        <v>886</v>
      </c>
      <c r="B50" s="1565"/>
      <c r="C50" s="585" t="s">
        <v>887</v>
      </c>
      <c r="D50" s="558" t="s">
        <v>884</v>
      </c>
      <c r="E50" s="819">
        <v>0.03</v>
      </c>
      <c r="F50" s="760">
        <v>10800</v>
      </c>
      <c r="G50" s="760">
        <f>E50*F50/8</f>
        <v>40.5</v>
      </c>
      <c r="H50" s="633" t="s">
        <v>888</v>
      </c>
    </row>
    <row r="51" spans="1:8" ht="24.75" customHeight="1">
      <c r="A51" s="1564" t="s">
        <v>889</v>
      </c>
      <c r="B51" s="1565"/>
      <c r="C51" s="820" t="s">
        <v>887</v>
      </c>
      <c r="D51" s="558" t="s">
        <v>884</v>
      </c>
      <c r="E51" s="819">
        <v>0.025</v>
      </c>
      <c r="F51" s="766">
        <v>7600</v>
      </c>
      <c r="G51" s="760">
        <f>E51*F51/8</f>
        <v>23.75</v>
      </c>
      <c r="H51" s="633" t="s">
        <v>888</v>
      </c>
    </row>
    <row r="52" spans="1:8" ht="24.75" customHeight="1">
      <c r="A52" s="1564" t="s">
        <v>890</v>
      </c>
      <c r="B52" s="1565"/>
      <c r="C52" s="585"/>
      <c r="D52" s="558" t="s">
        <v>456</v>
      </c>
      <c r="E52" s="819">
        <v>2</v>
      </c>
      <c r="F52" s="760">
        <v>8</v>
      </c>
      <c r="G52" s="760">
        <f>E52*F52</f>
        <v>16</v>
      </c>
      <c r="H52" s="821"/>
    </row>
    <row r="53" spans="1:8" ht="24.75" customHeight="1">
      <c r="A53" s="1564" t="s">
        <v>891</v>
      </c>
      <c r="B53" s="1565"/>
      <c r="C53" s="585"/>
      <c r="D53" s="822" t="s">
        <v>413</v>
      </c>
      <c r="E53" s="819">
        <v>0.25</v>
      </c>
      <c r="F53" s="760">
        <v>30</v>
      </c>
      <c r="G53" s="760">
        <f>E53*F53</f>
        <v>7.5</v>
      </c>
      <c r="H53" s="821"/>
    </row>
    <row r="54" spans="1:8" ht="24.75" customHeight="1">
      <c r="A54" s="1564" t="s">
        <v>892</v>
      </c>
      <c r="B54" s="1565"/>
      <c r="C54" s="585" t="s">
        <v>893</v>
      </c>
      <c r="D54" s="822" t="s">
        <v>413</v>
      </c>
      <c r="E54" s="819">
        <v>0.24</v>
      </c>
      <c r="F54" s="760">
        <v>30</v>
      </c>
      <c r="G54" s="760">
        <f>E54*F54</f>
        <v>7.2</v>
      </c>
      <c r="H54" s="821"/>
    </row>
    <row r="55" spans="1:8" ht="24.75" customHeight="1">
      <c r="A55" s="1564" t="s">
        <v>894</v>
      </c>
      <c r="B55" s="1565"/>
      <c r="C55" s="585" t="s">
        <v>895</v>
      </c>
      <c r="D55" s="558" t="s">
        <v>467</v>
      </c>
      <c r="E55" s="819">
        <v>0.215</v>
      </c>
      <c r="F55" s="760">
        <v>900</v>
      </c>
      <c r="G55" s="760">
        <f>E55*F55</f>
        <v>193.5</v>
      </c>
      <c r="H55" s="821"/>
    </row>
    <row r="56" spans="1:8" ht="24.75" customHeight="1">
      <c r="A56" s="1564" t="s">
        <v>896</v>
      </c>
      <c r="B56" s="1565"/>
      <c r="C56" s="823"/>
      <c r="D56" s="558" t="s">
        <v>467</v>
      </c>
      <c r="E56" s="819">
        <v>0.045</v>
      </c>
      <c r="F56" s="760">
        <v>700</v>
      </c>
      <c r="G56" s="760">
        <f>E56*F56</f>
        <v>31.5</v>
      </c>
      <c r="H56" s="824"/>
    </row>
    <row r="57" spans="1:8" ht="24.75" customHeight="1">
      <c r="A57" s="1564" t="s">
        <v>897</v>
      </c>
      <c r="B57" s="1565"/>
      <c r="C57" s="823" t="s">
        <v>898</v>
      </c>
      <c r="D57" s="558" t="s">
        <v>884</v>
      </c>
      <c r="E57" s="551">
        <v>1</v>
      </c>
      <c r="F57" s="760">
        <v>48</v>
      </c>
      <c r="G57" s="760">
        <f>E57*F57/3</f>
        <v>16</v>
      </c>
      <c r="H57" s="634" t="s">
        <v>899</v>
      </c>
    </row>
    <row r="58" spans="1:8" ht="24.75" customHeight="1">
      <c r="A58" s="1564" t="s">
        <v>900</v>
      </c>
      <c r="B58" s="1565"/>
      <c r="C58" s="823" t="s">
        <v>901</v>
      </c>
      <c r="D58" s="586" t="s">
        <v>414</v>
      </c>
      <c r="E58" s="551">
        <v>1</v>
      </c>
      <c r="F58" s="825" t="s">
        <v>475</v>
      </c>
      <c r="G58" s="825">
        <v>6.25</v>
      </c>
      <c r="H58" s="826"/>
    </row>
    <row r="59" spans="1:8" ht="24.75" customHeight="1">
      <c r="A59" s="1564" t="s">
        <v>902</v>
      </c>
      <c r="B59" s="1565"/>
      <c r="C59" s="827"/>
      <c r="D59" s="586"/>
      <c r="E59" s="584"/>
      <c r="F59" s="828"/>
      <c r="G59" s="760">
        <f>SUM(G49:G58)</f>
        <v>380</v>
      </c>
      <c r="H59" s="826"/>
    </row>
    <row r="60" spans="1:8" ht="24.75" customHeight="1">
      <c r="A60" s="886"/>
      <c r="B60" s="887"/>
      <c r="C60" s="827"/>
      <c r="D60" s="586"/>
      <c r="E60" s="584"/>
      <c r="F60" s="828"/>
      <c r="G60" s="1044"/>
      <c r="H60" s="1023"/>
    </row>
    <row r="61" spans="1:8" ht="24.75" customHeight="1">
      <c r="A61" s="886"/>
      <c r="B61" s="887"/>
      <c r="C61" s="827"/>
      <c r="D61" s="586"/>
      <c r="E61" s="584"/>
      <c r="F61" s="828"/>
      <c r="G61" s="1044"/>
      <c r="H61" s="1023"/>
    </row>
    <row r="62" spans="1:8" ht="24.75" customHeight="1" thickBot="1">
      <c r="A62" s="931"/>
      <c r="B62" s="932"/>
      <c r="C62" s="932"/>
      <c r="D62" s="594" t="s">
        <v>601</v>
      </c>
      <c r="E62" s="1043" t="s">
        <v>785</v>
      </c>
      <c r="F62" s="933" t="s">
        <v>438</v>
      </c>
      <c r="G62" s="577">
        <f>G59</f>
        <v>380</v>
      </c>
      <c r="H62" s="539"/>
    </row>
    <row r="63" spans="1:8" ht="24.75" customHeight="1">
      <c r="A63" s="227"/>
      <c r="B63" s="29"/>
      <c r="C63" s="227"/>
      <c r="D63" s="227"/>
      <c r="E63" s="227"/>
      <c r="F63" s="227"/>
      <c r="G63" s="227"/>
      <c r="H63" s="227"/>
    </row>
    <row r="64" spans="1:8" ht="24.75" customHeight="1">
      <c r="A64" s="29" t="s">
        <v>457</v>
      </c>
      <c r="B64" s="29"/>
      <c r="C64" s="29"/>
      <c r="D64" s="29"/>
      <c r="E64" s="29" t="s">
        <v>458</v>
      </c>
      <c r="F64" s="29"/>
      <c r="G64" s="29"/>
      <c r="H64" s="29"/>
    </row>
    <row r="65" spans="1:8" ht="24.75" customHeight="1">
      <c r="A65" s="238" t="str">
        <f>A33</f>
        <v>經濟部水利署第十河川局</v>
      </c>
      <c r="B65" s="430"/>
      <c r="C65" s="430"/>
      <c r="D65" s="430"/>
      <c r="E65" s="430"/>
      <c r="F65" s="430"/>
      <c r="G65" s="430"/>
      <c r="H65" s="430"/>
    </row>
    <row r="66" spans="1:8" ht="24.75" customHeight="1">
      <c r="A66" s="239" t="str">
        <f>A34</f>
        <v>單  價  分  析  表</v>
      </c>
      <c r="B66" s="430"/>
      <c r="C66" s="430"/>
      <c r="D66" s="430"/>
      <c r="E66" s="430"/>
      <c r="F66" s="430"/>
      <c r="G66" s="430"/>
      <c r="H66" s="430"/>
    </row>
    <row r="67" spans="1:8" ht="24.75" customHeight="1">
      <c r="A67" s="1510" t="str">
        <f>A35</f>
        <v>工程名稱:基隆河整體治理計劃（前期計劃）瑞芳區塊介壽橋下游左右岸護岸工程</v>
      </c>
      <c r="B67" s="1510"/>
      <c r="C67" s="1510"/>
      <c r="D67" s="1510"/>
      <c r="E67" s="1510"/>
      <c r="F67" s="1510"/>
      <c r="G67" s="1510"/>
      <c r="H67" s="253" t="s">
        <v>1065</v>
      </c>
    </row>
    <row r="68" spans="1:8" ht="24.75" customHeight="1" thickBot="1">
      <c r="A68" s="1545" t="str">
        <f>A36</f>
        <v>施工地點：台北縣瑞芳鎮</v>
      </c>
      <c r="B68" s="1545"/>
      <c r="C68" s="1545"/>
      <c r="D68" s="1545"/>
      <c r="E68" s="431"/>
      <c r="F68" s="431"/>
      <c r="G68" s="1573" t="s">
        <v>29</v>
      </c>
      <c r="H68" s="1573"/>
    </row>
    <row r="69" spans="1:8" ht="24.75" customHeight="1">
      <c r="A69" s="358" t="s">
        <v>436</v>
      </c>
      <c r="B69" s="359">
        <v>5</v>
      </c>
      <c r="C69" s="344" t="s">
        <v>442</v>
      </c>
      <c r="D69" s="904" t="s">
        <v>947</v>
      </c>
      <c r="E69" s="904"/>
      <c r="F69" s="905"/>
      <c r="G69" s="360" t="s">
        <v>468</v>
      </c>
      <c r="H69" s="906" t="s">
        <v>948</v>
      </c>
    </row>
    <row r="70" spans="1:8" ht="24.75" customHeight="1">
      <c r="A70" s="907" t="s">
        <v>559</v>
      </c>
      <c r="B70" s="908"/>
      <c r="C70" s="50" t="s">
        <v>950</v>
      </c>
      <c r="D70" s="361" t="s">
        <v>470</v>
      </c>
      <c r="E70" s="362" t="s">
        <v>471</v>
      </c>
      <c r="F70" s="362" t="s">
        <v>472</v>
      </c>
      <c r="G70" s="362" t="s">
        <v>473</v>
      </c>
      <c r="H70" s="909" t="s">
        <v>474</v>
      </c>
    </row>
    <row r="71" spans="1:8" ht="24.75" customHeight="1">
      <c r="A71" s="1532" t="s">
        <v>951</v>
      </c>
      <c r="B71" s="1533"/>
      <c r="C71" s="910" t="s">
        <v>952</v>
      </c>
      <c r="D71" s="40" t="s">
        <v>953</v>
      </c>
      <c r="E71" s="911">
        <v>0.018</v>
      </c>
      <c r="F71" s="368">
        <v>10800</v>
      </c>
      <c r="G71" s="368">
        <f>E71*F71/6</f>
        <v>32.4</v>
      </c>
      <c r="H71" s="912" t="s">
        <v>885</v>
      </c>
    </row>
    <row r="72" spans="1:8" ht="24.75" customHeight="1">
      <c r="A72" s="1532" t="s">
        <v>954</v>
      </c>
      <c r="B72" s="1533"/>
      <c r="C72" s="910" t="s">
        <v>955</v>
      </c>
      <c r="D72" s="40" t="s">
        <v>590</v>
      </c>
      <c r="E72" s="911">
        <v>0.015</v>
      </c>
      <c r="F72" s="368">
        <v>10800</v>
      </c>
      <c r="G72" s="368">
        <f>E72*F72/8</f>
        <v>20.25</v>
      </c>
      <c r="H72" s="912" t="s">
        <v>888</v>
      </c>
    </row>
    <row r="73" spans="1:8" ht="24.75" customHeight="1">
      <c r="A73" s="1532" t="s">
        <v>956</v>
      </c>
      <c r="B73" s="1533"/>
      <c r="C73" s="910" t="s">
        <v>955</v>
      </c>
      <c r="D73" s="40" t="s">
        <v>590</v>
      </c>
      <c r="E73" s="911">
        <v>0.015</v>
      </c>
      <c r="F73" s="374">
        <v>7600</v>
      </c>
      <c r="G73" s="368">
        <f>E73*F73/8</f>
        <v>14.25</v>
      </c>
      <c r="H73" s="912" t="s">
        <v>888</v>
      </c>
    </row>
    <row r="74" spans="1:8" ht="24.75" customHeight="1">
      <c r="A74" s="1532" t="s">
        <v>957</v>
      </c>
      <c r="B74" s="1533"/>
      <c r="C74" s="910"/>
      <c r="D74" s="366" t="s">
        <v>456</v>
      </c>
      <c r="E74" s="911">
        <v>2</v>
      </c>
      <c r="F74" s="368">
        <v>8</v>
      </c>
      <c r="G74" s="368">
        <v>16</v>
      </c>
      <c r="H74" s="913"/>
    </row>
    <row r="75" spans="1:8" ht="24.75" customHeight="1">
      <c r="A75" s="1532" t="s">
        <v>958</v>
      </c>
      <c r="B75" s="1533"/>
      <c r="C75" s="910"/>
      <c r="D75" s="914" t="s">
        <v>413</v>
      </c>
      <c r="E75" s="911">
        <v>0.2</v>
      </c>
      <c r="F75" s="368">
        <v>30</v>
      </c>
      <c r="G75" s="368">
        <v>6</v>
      </c>
      <c r="H75" s="913"/>
    </row>
    <row r="76" spans="1:8" ht="24.75" customHeight="1">
      <c r="A76" s="1532" t="s">
        <v>959</v>
      </c>
      <c r="B76" s="1533"/>
      <c r="C76" s="915" t="s">
        <v>960</v>
      </c>
      <c r="D76" s="914" t="s">
        <v>413</v>
      </c>
      <c r="E76" s="911">
        <v>0.2</v>
      </c>
      <c r="F76" s="368">
        <v>30</v>
      </c>
      <c r="G76" s="368">
        <v>6</v>
      </c>
      <c r="H76" s="913"/>
    </row>
    <row r="77" spans="1:8" ht="24.75" customHeight="1">
      <c r="A77" s="1532" t="s">
        <v>961</v>
      </c>
      <c r="B77" s="1533"/>
      <c r="C77" s="910" t="s">
        <v>962</v>
      </c>
      <c r="D77" s="366" t="s">
        <v>467</v>
      </c>
      <c r="E77" s="911">
        <v>0.16</v>
      </c>
      <c r="F77" s="368">
        <v>900</v>
      </c>
      <c r="G77" s="368">
        <v>144</v>
      </c>
      <c r="H77" s="913"/>
    </row>
    <row r="78" spans="1:8" ht="24.75" customHeight="1">
      <c r="A78" s="1532" t="s">
        <v>963</v>
      </c>
      <c r="B78" s="1533"/>
      <c r="C78" s="916"/>
      <c r="D78" s="366" t="s">
        <v>467</v>
      </c>
      <c r="E78" s="911">
        <v>0.03</v>
      </c>
      <c r="F78" s="368">
        <v>700</v>
      </c>
      <c r="G78" s="368">
        <v>21</v>
      </c>
      <c r="H78" s="917"/>
    </row>
    <row r="79" spans="1:8" ht="24.75" customHeight="1">
      <c r="A79" s="1532" t="s">
        <v>964</v>
      </c>
      <c r="B79" s="1533"/>
      <c r="C79" s="918" t="s">
        <v>901</v>
      </c>
      <c r="D79" s="366" t="s">
        <v>414</v>
      </c>
      <c r="E79" s="368">
        <v>1</v>
      </c>
      <c r="F79" s="368" t="s">
        <v>475</v>
      </c>
      <c r="G79" s="919">
        <v>10.1</v>
      </c>
      <c r="H79" s="920"/>
    </row>
    <row r="80" spans="1:8" ht="24.75" customHeight="1">
      <c r="A80" s="1532" t="s">
        <v>577</v>
      </c>
      <c r="B80" s="1533"/>
      <c r="C80" s="921"/>
      <c r="D80" s="366"/>
      <c r="E80" s="919"/>
      <c r="F80" s="922"/>
      <c r="G80" s="922">
        <f>SUM(G71:G79)</f>
        <v>270</v>
      </c>
      <c r="H80" s="920"/>
    </row>
    <row r="81" spans="1:8" ht="24.75" customHeight="1">
      <c r="A81" s="416"/>
      <c r="B81" s="878"/>
      <c r="C81" s="921"/>
      <c r="D81" s="366"/>
      <c r="E81" s="919"/>
      <c r="F81" s="922"/>
      <c r="G81" s="380"/>
      <c r="H81" s="923"/>
    </row>
    <row r="82" spans="1:8" ht="24.75" customHeight="1">
      <c r="A82" s="1532"/>
      <c r="B82" s="1533"/>
      <c r="C82" s="921"/>
      <c r="D82" s="366"/>
      <c r="E82" s="919"/>
      <c r="F82" s="922"/>
      <c r="G82" s="380"/>
      <c r="H82" s="923"/>
    </row>
    <row r="83" spans="1:8" ht="24.75" customHeight="1" thickBot="1">
      <c r="A83" s="924"/>
      <c r="B83" s="925"/>
      <c r="C83" s="925"/>
      <c r="D83" s="926" t="s">
        <v>589</v>
      </c>
      <c r="E83" s="927" t="s">
        <v>965</v>
      </c>
      <c r="F83" s="928" t="s">
        <v>438</v>
      </c>
      <c r="G83" s="929">
        <f>G80</f>
        <v>270</v>
      </c>
      <c r="H83" s="930"/>
    </row>
    <row r="84" spans="1:8" ht="24.75" customHeight="1">
      <c r="A84" s="394" t="s">
        <v>436</v>
      </c>
      <c r="B84" s="395">
        <v>6</v>
      </c>
      <c r="C84" s="344" t="s">
        <v>442</v>
      </c>
      <c r="D84" s="396" t="s">
        <v>966</v>
      </c>
      <c r="E84" s="396"/>
      <c r="F84" s="397"/>
      <c r="G84" s="398" t="s">
        <v>468</v>
      </c>
      <c r="H84" s="934" t="s">
        <v>1113</v>
      </c>
    </row>
    <row r="85" spans="1:8" ht="24.75" customHeight="1">
      <c r="A85" s="1532" t="s">
        <v>968</v>
      </c>
      <c r="B85" s="1533"/>
      <c r="C85" s="50" t="s">
        <v>469</v>
      </c>
      <c r="D85" s="50" t="s">
        <v>470</v>
      </c>
      <c r="E85" s="38" t="s">
        <v>471</v>
      </c>
      <c r="F85" s="408" t="s">
        <v>472</v>
      </c>
      <c r="G85" s="38" t="s">
        <v>473</v>
      </c>
      <c r="H85" s="51" t="s">
        <v>474</v>
      </c>
    </row>
    <row r="86" spans="1:8" ht="24.75" customHeight="1">
      <c r="A86" s="1532" t="s">
        <v>1133</v>
      </c>
      <c r="B86" s="1572"/>
      <c r="C86" s="890"/>
      <c r="D86" s="38" t="s">
        <v>967</v>
      </c>
      <c r="E86" s="935">
        <v>1</v>
      </c>
      <c r="F86" s="331">
        <f>G144</f>
        <v>500</v>
      </c>
      <c r="G86" s="330">
        <f>E86*F86</f>
        <v>500</v>
      </c>
      <c r="H86" s="41" t="s">
        <v>1234</v>
      </c>
    </row>
    <row r="87" spans="1:8" ht="24.75" customHeight="1">
      <c r="A87" s="1532" t="s">
        <v>969</v>
      </c>
      <c r="B87" s="1572"/>
      <c r="C87" s="890" t="s">
        <v>970</v>
      </c>
      <c r="D87" s="38" t="s">
        <v>967</v>
      </c>
      <c r="E87" s="935">
        <v>1.08</v>
      </c>
      <c r="F87" s="330">
        <v>5</v>
      </c>
      <c r="G87" s="330">
        <f>E87*F87</f>
        <v>5.4</v>
      </c>
      <c r="H87" s="46"/>
    </row>
    <row r="88" spans="1:8" ht="24.75" customHeight="1">
      <c r="A88" s="1532" t="s">
        <v>971</v>
      </c>
      <c r="B88" s="1572"/>
      <c r="C88" s="890"/>
      <c r="D88" s="38" t="s">
        <v>967</v>
      </c>
      <c r="E88" s="935">
        <v>1.08</v>
      </c>
      <c r="F88" s="330">
        <v>30</v>
      </c>
      <c r="G88" s="330">
        <f>E88*F88</f>
        <v>32.4</v>
      </c>
      <c r="H88" s="46"/>
    </row>
    <row r="89" spans="1:8" ht="24.75" customHeight="1">
      <c r="A89" s="1532" t="s">
        <v>972</v>
      </c>
      <c r="B89" s="1572"/>
      <c r="C89" s="915" t="s">
        <v>973</v>
      </c>
      <c r="D89" s="936" t="s">
        <v>974</v>
      </c>
      <c r="E89" s="935">
        <v>1</v>
      </c>
      <c r="F89" s="330" t="s">
        <v>475</v>
      </c>
      <c r="G89" s="330">
        <v>150</v>
      </c>
      <c r="H89" s="46"/>
    </row>
    <row r="90" spans="1:8" ht="24.75" customHeight="1">
      <c r="A90" s="1532" t="s">
        <v>975</v>
      </c>
      <c r="B90" s="1572"/>
      <c r="C90" s="910" t="s">
        <v>1087</v>
      </c>
      <c r="D90" s="936" t="s">
        <v>974</v>
      </c>
      <c r="E90" s="935">
        <v>1</v>
      </c>
      <c r="F90" s="330" t="s">
        <v>475</v>
      </c>
      <c r="G90" s="330">
        <v>120</v>
      </c>
      <c r="H90" s="41"/>
    </row>
    <row r="91" spans="1:8" ht="24.75" customHeight="1">
      <c r="A91" s="1532" t="s">
        <v>976</v>
      </c>
      <c r="B91" s="1572"/>
      <c r="C91" s="915" t="s">
        <v>977</v>
      </c>
      <c r="D91" s="936" t="s">
        <v>974</v>
      </c>
      <c r="E91" s="935">
        <v>1</v>
      </c>
      <c r="F91" s="330" t="s">
        <v>475</v>
      </c>
      <c r="G91" s="330">
        <v>50</v>
      </c>
      <c r="H91" s="46"/>
    </row>
    <row r="92" spans="1:8" ht="24.75" customHeight="1">
      <c r="A92" s="1532" t="s">
        <v>964</v>
      </c>
      <c r="B92" s="1572"/>
      <c r="C92" s="915" t="s">
        <v>978</v>
      </c>
      <c r="D92" s="936" t="s">
        <v>974</v>
      </c>
      <c r="E92" s="935">
        <v>1</v>
      </c>
      <c r="F92" s="330" t="s">
        <v>475</v>
      </c>
      <c r="G92" s="330">
        <v>2.2</v>
      </c>
      <c r="H92" s="46"/>
    </row>
    <row r="93" spans="1:8" ht="24.75" customHeight="1">
      <c r="A93" s="1532" t="s">
        <v>577</v>
      </c>
      <c r="B93" s="1533"/>
      <c r="C93" s="351"/>
      <c r="D93" s="40"/>
      <c r="E93" s="330"/>
      <c r="F93" s="330"/>
      <c r="G93" s="330">
        <f>SUM(G86:G92)</f>
        <v>860</v>
      </c>
      <c r="H93" s="209"/>
    </row>
    <row r="94" spans="1:8" ht="24.75" customHeight="1" thickBot="1">
      <c r="A94" s="937"/>
      <c r="B94" s="938"/>
      <c r="C94" s="938"/>
      <c r="D94" s="939" t="s">
        <v>476</v>
      </c>
      <c r="E94" s="927" t="s">
        <v>965</v>
      </c>
      <c r="F94" s="940" t="s">
        <v>980</v>
      </c>
      <c r="G94" s="354">
        <f>G93</f>
        <v>860</v>
      </c>
      <c r="H94" s="340"/>
    </row>
    <row r="95" spans="1:8" ht="24.75" customHeight="1">
      <c r="A95" s="227"/>
      <c r="B95" s="29"/>
      <c r="C95" s="227"/>
      <c r="D95" s="227"/>
      <c r="E95" s="227"/>
      <c r="F95" s="227"/>
      <c r="G95" s="227"/>
      <c r="H95" s="227"/>
    </row>
    <row r="96" spans="1:8" ht="24.75" customHeight="1">
      <c r="A96" s="29" t="s">
        <v>457</v>
      </c>
      <c r="B96" s="29"/>
      <c r="C96" s="29"/>
      <c r="D96" s="29"/>
      <c r="E96" s="29" t="s">
        <v>458</v>
      </c>
      <c r="F96" s="29"/>
      <c r="G96" s="29"/>
      <c r="H96" s="29"/>
    </row>
    <row r="97" spans="1:8" ht="24.75" customHeight="1">
      <c r="A97" s="238" t="str">
        <f>A65</f>
        <v>經濟部水利署第十河川局</v>
      </c>
      <c r="B97" s="430"/>
      <c r="C97" s="430"/>
      <c r="D97" s="430"/>
      <c r="E97" s="430"/>
      <c r="F97" s="430"/>
      <c r="G97" s="430"/>
      <c r="H97" s="430"/>
    </row>
    <row r="98" spans="1:8" ht="24.75" customHeight="1">
      <c r="A98" s="239" t="str">
        <f>A66</f>
        <v>單  價  分  析  表</v>
      </c>
      <c r="B98" s="430"/>
      <c r="C98" s="430"/>
      <c r="D98" s="430"/>
      <c r="E98" s="430"/>
      <c r="F98" s="430"/>
      <c r="G98" s="430"/>
      <c r="H98" s="430"/>
    </row>
    <row r="99" spans="1:8" ht="24.75" customHeight="1">
      <c r="A99" s="1510" t="str">
        <f>A67</f>
        <v>工程名稱:基隆河整體治理計劃（前期計劃）瑞芳區塊介壽橋下游左右岸護岸工程</v>
      </c>
      <c r="B99" s="1510"/>
      <c r="C99" s="1510"/>
      <c r="D99" s="1510"/>
      <c r="E99" s="1510"/>
      <c r="F99" s="1510"/>
      <c r="G99" s="1510"/>
      <c r="H99" s="253" t="s">
        <v>1065</v>
      </c>
    </row>
    <row r="100" spans="1:8" ht="24.75" customHeight="1" thickBot="1">
      <c r="A100" s="1545" t="str">
        <f>A68</f>
        <v>施工地點：台北縣瑞芳鎮</v>
      </c>
      <c r="B100" s="1545"/>
      <c r="C100" s="1545"/>
      <c r="D100" s="1545"/>
      <c r="E100" s="431"/>
      <c r="F100" s="431"/>
      <c r="G100" s="1573" t="s">
        <v>28</v>
      </c>
      <c r="H100" s="1573"/>
    </row>
    <row r="101" spans="1:8" ht="24.75" customHeight="1">
      <c r="A101" s="341" t="s">
        <v>436</v>
      </c>
      <c r="B101" s="342">
        <v>7</v>
      </c>
      <c r="C101" s="344" t="s">
        <v>442</v>
      </c>
      <c r="D101" s="941" t="s">
        <v>1066</v>
      </c>
      <c r="E101" s="942"/>
      <c r="F101" s="1038"/>
      <c r="G101" s="52" t="s">
        <v>468</v>
      </c>
      <c r="H101" s="1056" t="s">
        <v>1090</v>
      </c>
    </row>
    <row r="102" spans="1:8" ht="24.75" customHeight="1">
      <c r="A102" s="220" t="s">
        <v>1014</v>
      </c>
      <c r="B102" s="221"/>
      <c r="C102" s="50" t="s">
        <v>469</v>
      </c>
      <c r="D102" s="50" t="s">
        <v>470</v>
      </c>
      <c r="E102" s="38" t="s">
        <v>471</v>
      </c>
      <c r="F102" s="38" t="s">
        <v>472</v>
      </c>
      <c r="G102" s="38" t="s">
        <v>473</v>
      </c>
      <c r="H102" s="51" t="s">
        <v>474</v>
      </c>
    </row>
    <row r="103" spans="1:8" ht="24.75" customHeight="1">
      <c r="A103" s="1532" t="s">
        <v>1067</v>
      </c>
      <c r="B103" s="1533"/>
      <c r="C103" s="1031"/>
      <c r="D103" s="38" t="s">
        <v>1019</v>
      </c>
      <c r="E103" s="350">
        <v>1</v>
      </c>
      <c r="F103" s="330">
        <f>G144</f>
        <v>500</v>
      </c>
      <c r="G103" s="330">
        <v>100</v>
      </c>
      <c r="H103" s="46"/>
    </row>
    <row r="104" spans="1:8" ht="24.75" customHeight="1">
      <c r="A104" s="1532" t="s">
        <v>1068</v>
      </c>
      <c r="B104" s="1533"/>
      <c r="C104" s="347"/>
      <c r="D104" s="38" t="s">
        <v>1019</v>
      </c>
      <c r="E104" s="935">
        <v>0.03</v>
      </c>
      <c r="F104" s="330">
        <v>10800</v>
      </c>
      <c r="G104" s="330">
        <v>40.5</v>
      </c>
      <c r="H104" s="207" t="s">
        <v>888</v>
      </c>
    </row>
    <row r="105" spans="1:8" ht="24.75" customHeight="1">
      <c r="A105" s="1532" t="s">
        <v>588</v>
      </c>
      <c r="B105" s="1533"/>
      <c r="C105" s="347"/>
      <c r="D105" s="40" t="s">
        <v>467</v>
      </c>
      <c r="E105" s="935">
        <v>0.06</v>
      </c>
      <c r="F105" s="331">
        <v>900</v>
      </c>
      <c r="G105" s="330">
        <v>54</v>
      </c>
      <c r="H105" s="46"/>
    </row>
    <row r="106" spans="1:8" ht="24.75" customHeight="1">
      <c r="A106" s="1532" t="s">
        <v>1069</v>
      </c>
      <c r="B106" s="1533"/>
      <c r="C106" s="347"/>
      <c r="D106" s="40" t="s">
        <v>467</v>
      </c>
      <c r="E106" s="330">
        <v>0.01</v>
      </c>
      <c r="F106" s="330">
        <v>800</v>
      </c>
      <c r="G106" s="330">
        <v>8</v>
      </c>
      <c r="H106" s="46"/>
    </row>
    <row r="107" spans="1:8" ht="24.75" customHeight="1">
      <c r="A107" s="1532" t="s">
        <v>1070</v>
      </c>
      <c r="B107" s="1533"/>
      <c r="C107" s="347"/>
      <c r="D107" s="40" t="s">
        <v>467</v>
      </c>
      <c r="E107" s="330">
        <v>0.05</v>
      </c>
      <c r="F107" s="330">
        <v>700</v>
      </c>
      <c r="G107" s="330">
        <v>35</v>
      </c>
      <c r="H107" s="46"/>
    </row>
    <row r="108" spans="1:8" ht="24.75" customHeight="1">
      <c r="A108" s="1532" t="s">
        <v>969</v>
      </c>
      <c r="B108" s="1533"/>
      <c r="C108" s="349"/>
      <c r="D108" s="40" t="s">
        <v>414</v>
      </c>
      <c r="E108" s="346">
        <v>1</v>
      </c>
      <c r="F108" s="330" t="s">
        <v>475</v>
      </c>
      <c r="G108" s="330">
        <v>3</v>
      </c>
      <c r="H108" s="46"/>
    </row>
    <row r="109" spans="1:8" ht="24.75" customHeight="1">
      <c r="A109" s="1532" t="s">
        <v>1071</v>
      </c>
      <c r="B109" s="1533"/>
      <c r="C109" s="351"/>
      <c r="D109" s="40" t="s">
        <v>414</v>
      </c>
      <c r="E109" s="346">
        <v>1</v>
      </c>
      <c r="F109" s="330" t="s">
        <v>475</v>
      </c>
      <c r="G109" s="330">
        <v>20</v>
      </c>
      <c r="H109" s="46"/>
    </row>
    <row r="110" spans="1:8" ht="24.75" customHeight="1">
      <c r="A110" s="1532" t="s">
        <v>1072</v>
      </c>
      <c r="B110" s="1533"/>
      <c r="C110" s="351"/>
      <c r="D110" s="40" t="s">
        <v>414</v>
      </c>
      <c r="E110" s="331">
        <v>1</v>
      </c>
      <c r="F110" s="330" t="s">
        <v>475</v>
      </c>
      <c r="G110" s="330">
        <v>9.5</v>
      </c>
      <c r="H110" s="47"/>
    </row>
    <row r="111" spans="1:8" ht="24.75" customHeight="1">
      <c r="A111" s="1532" t="s">
        <v>577</v>
      </c>
      <c r="B111" s="1533"/>
      <c r="C111" s="351"/>
      <c r="D111" s="40"/>
      <c r="E111" s="330"/>
      <c r="F111" s="330"/>
      <c r="G111" s="330">
        <f>SUM(G103:G110)</f>
        <v>270</v>
      </c>
      <c r="H111" s="1032"/>
    </row>
    <row r="112" spans="1:8" ht="24.75" customHeight="1">
      <c r="A112" s="328"/>
      <c r="B112" s="333"/>
      <c r="C112" s="351"/>
      <c r="D112" s="40"/>
      <c r="E112" s="330"/>
      <c r="F112" s="330"/>
      <c r="G112" s="330"/>
      <c r="H112" s="1032"/>
    </row>
    <row r="113" spans="1:8" ht="24.75" customHeight="1">
      <c r="A113" s="327"/>
      <c r="B113" s="333"/>
      <c r="C113" s="335"/>
      <c r="D113" s="50"/>
      <c r="E113" s="336"/>
      <c r="F113" s="336"/>
      <c r="G113" s="336"/>
      <c r="H113" s="987"/>
    </row>
    <row r="114" spans="1:8" ht="24.75" customHeight="1" thickBot="1">
      <c r="A114" s="1033"/>
      <c r="B114" s="1034"/>
      <c r="C114" s="1034"/>
      <c r="D114" s="1035" t="s">
        <v>476</v>
      </c>
      <c r="E114" s="927" t="s">
        <v>965</v>
      </c>
      <c r="F114" s="1037" t="s">
        <v>438</v>
      </c>
      <c r="G114" s="354">
        <f>G111</f>
        <v>270</v>
      </c>
      <c r="H114" s="340"/>
    </row>
    <row r="115" spans="1:8" ht="24.75" customHeight="1">
      <c r="A115" s="341" t="s">
        <v>436</v>
      </c>
      <c r="B115" s="342">
        <v>8</v>
      </c>
      <c r="C115" s="344" t="s">
        <v>442</v>
      </c>
      <c r="D115" s="1597" t="s">
        <v>1295</v>
      </c>
      <c r="E115" s="1598"/>
      <c r="F115" s="1599"/>
      <c r="G115" s="52" t="s">
        <v>468</v>
      </c>
      <c r="H115" s="343" t="s">
        <v>578</v>
      </c>
    </row>
    <row r="116" spans="1:8" ht="24.75" customHeight="1">
      <c r="A116" s="1534" t="s">
        <v>586</v>
      </c>
      <c r="B116" s="1568"/>
      <c r="C116" s="50" t="s">
        <v>585</v>
      </c>
      <c r="D116" s="50" t="s">
        <v>470</v>
      </c>
      <c r="E116" s="38" t="s">
        <v>471</v>
      </c>
      <c r="F116" s="408" t="s">
        <v>472</v>
      </c>
      <c r="G116" s="38" t="s">
        <v>473</v>
      </c>
      <c r="H116" s="345" t="s">
        <v>474</v>
      </c>
    </row>
    <row r="117" spans="1:8" ht="34.5" customHeight="1">
      <c r="A117" s="1532" t="s">
        <v>604</v>
      </c>
      <c r="B117" s="1533"/>
      <c r="C117" s="329" t="s">
        <v>149</v>
      </c>
      <c r="D117" s="38" t="s">
        <v>578</v>
      </c>
      <c r="E117" s="346">
        <v>1</v>
      </c>
      <c r="F117" s="330">
        <v>14000</v>
      </c>
      <c r="G117" s="330">
        <f>F117*E117</f>
        <v>14000</v>
      </c>
      <c r="H117" s="976" t="s">
        <v>156</v>
      </c>
    </row>
    <row r="118" spans="1:8" ht="24.75" customHeight="1">
      <c r="A118" s="1532" t="s">
        <v>587</v>
      </c>
      <c r="B118" s="1533"/>
      <c r="C118" s="347"/>
      <c r="D118" s="38" t="s">
        <v>567</v>
      </c>
      <c r="E118" s="346">
        <v>4</v>
      </c>
      <c r="F118" s="330">
        <v>30</v>
      </c>
      <c r="G118" s="330">
        <f>E118*F118</f>
        <v>120</v>
      </c>
      <c r="H118" s="348"/>
    </row>
    <row r="119" spans="1:8" ht="24.75" customHeight="1">
      <c r="A119" s="1532" t="s">
        <v>588</v>
      </c>
      <c r="B119" s="1533"/>
      <c r="C119" s="347"/>
      <c r="D119" s="40" t="s">
        <v>467</v>
      </c>
      <c r="E119" s="346">
        <v>3.5</v>
      </c>
      <c r="F119" s="331">
        <v>900</v>
      </c>
      <c r="G119" s="330">
        <f>E119*F119</f>
        <v>3150</v>
      </c>
      <c r="H119" s="348"/>
    </row>
    <row r="120" spans="1:8" ht="24.75" customHeight="1">
      <c r="A120" s="1532" t="s">
        <v>844</v>
      </c>
      <c r="B120" s="1533"/>
      <c r="C120" s="347"/>
      <c r="D120" s="40" t="s">
        <v>467</v>
      </c>
      <c r="E120" s="331">
        <v>0.9</v>
      </c>
      <c r="F120" s="330">
        <v>700</v>
      </c>
      <c r="G120" s="330">
        <f>E120*F120</f>
        <v>630</v>
      </c>
      <c r="H120" s="348"/>
    </row>
    <row r="121" spans="1:8" ht="24.75" customHeight="1">
      <c r="A121" s="1532" t="s">
        <v>845</v>
      </c>
      <c r="B121" s="1533"/>
      <c r="C121" s="347"/>
      <c r="D121" s="40" t="s">
        <v>579</v>
      </c>
      <c r="E121" s="331">
        <v>0.3</v>
      </c>
      <c r="F121" s="330">
        <v>300</v>
      </c>
      <c r="G121" s="330">
        <f>E121*F121</f>
        <v>90</v>
      </c>
      <c r="H121" s="348"/>
    </row>
    <row r="122" spans="1:8" ht="24.75" customHeight="1">
      <c r="A122" s="1532" t="s">
        <v>846</v>
      </c>
      <c r="B122" s="1533"/>
      <c r="C122" s="349"/>
      <c r="D122" s="40" t="s">
        <v>414</v>
      </c>
      <c r="E122" s="350">
        <v>1</v>
      </c>
      <c r="F122" s="330" t="s">
        <v>475</v>
      </c>
      <c r="G122" s="330">
        <v>10</v>
      </c>
      <c r="H122" s="348"/>
    </row>
    <row r="123" spans="1:8" ht="24.75" customHeight="1">
      <c r="A123" s="1532" t="s">
        <v>847</v>
      </c>
      <c r="B123" s="1533"/>
      <c r="C123" s="351"/>
      <c r="D123" s="40"/>
      <c r="E123" s="330"/>
      <c r="F123" s="330"/>
      <c r="G123" s="330">
        <f>SUM(G117:G122)</f>
        <v>18000</v>
      </c>
      <c r="H123" s="348"/>
    </row>
    <row r="124" spans="1:8" ht="24.75" customHeight="1">
      <c r="A124" s="327"/>
      <c r="B124" s="333"/>
      <c r="C124" s="335"/>
      <c r="D124" s="50"/>
      <c r="E124" s="336"/>
      <c r="F124" s="336"/>
      <c r="G124" s="336"/>
      <c r="H124" s="352"/>
    </row>
    <row r="125" spans="1:8" ht="24.75" customHeight="1" thickBot="1">
      <c r="A125" s="337"/>
      <c r="B125" s="338"/>
      <c r="C125" s="338"/>
      <c r="D125" s="353" t="s">
        <v>476</v>
      </c>
      <c r="E125" s="438" t="s">
        <v>848</v>
      </c>
      <c r="F125" s="440" t="s">
        <v>438</v>
      </c>
      <c r="G125" s="354">
        <f>G123</f>
        <v>18000</v>
      </c>
      <c r="H125" s="355"/>
    </row>
    <row r="126" spans="1:8" ht="24.75" customHeight="1">
      <c r="A126" s="227"/>
      <c r="B126" s="29"/>
      <c r="C126" s="227"/>
      <c r="D126" s="227"/>
      <c r="E126" s="227"/>
      <c r="F126" s="227"/>
      <c r="G126" s="227"/>
      <c r="H126" s="227"/>
    </row>
    <row r="127" spans="1:8" ht="24.75" customHeight="1">
      <c r="A127" s="29" t="s">
        <v>457</v>
      </c>
      <c r="B127" s="29"/>
      <c r="C127" s="29"/>
      <c r="D127" s="29"/>
      <c r="E127" s="29" t="s">
        <v>458</v>
      </c>
      <c r="F127" s="29"/>
      <c r="G127" s="29"/>
      <c r="H127" s="29"/>
    </row>
    <row r="128" spans="1:8" ht="24.75" customHeight="1">
      <c r="A128" s="238" t="str">
        <f>A97</f>
        <v>經濟部水利署第十河川局</v>
      </c>
      <c r="B128" s="430"/>
      <c r="C128" s="430"/>
      <c r="D128" s="430"/>
      <c r="E128" s="430"/>
      <c r="F128" s="430"/>
      <c r="G128" s="430"/>
      <c r="H128" s="430"/>
    </row>
    <row r="129" spans="1:8" ht="24.75" customHeight="1">
      <c r="A129" s="239" t="str">
        <f>A98</f>
        <v>單  價  分  析  表</v>
      </c>
      <c r="B129" s="430"/>
      <c r="C129" s="430"/>
      <c r="D129" s="430"/>
      <c r="E129" s="430"/>
      <c r="F129" s="430"/>
      <c r="G129" s="430"/>
      <c r="H129" s="430"/>
    </row>
    <row r="130" spans="1:8" ht="24.75" customHeight="1">
      <c r="A130" s="1510" t="str">
        <f>A99</f>
        <v>工程名稱:基隆河整體治理計劃（前期計劃）瑞芳區塊介壽橋下游左右岸護岸工程</v>
      </c>
      <c r="B130" s="1510"/>
      <c r="C130" s="1510"/>
      <c r="D130" s="1510"/>
      <c r="E130" s="1510"/>
      <c r="F130" s="1510"/>
      <c r="G130" s="1510"/>
      <c r="H130" s="253" t="s">
        <v>1065</v>
      </c>
    </row>
    <row r="131" spans="1:8" ht="24.75" customHeight="1" thickBot="1">
      <c r="A131" s="1545" t="str">
        <f>A100</f>
        <v>施工地點：台北縣瑞芳鎮</v>
      </c>
      <c r="B131" s="1545"/>
      <c r="C131" s="1545"/>
      <c r="D131" s="1545"/>
      <c r="E131" s="431"/>
      <c r="F131" s="431"/>
      <c r="G131" s="1573" t="s">
        <v>27</v>
      </c>
      <c r="H131" s="1573"/>
    </row>
    <row r="132" spans="1:8" ht="24.75" customHeight="1">
      <c r="A132" s="341" t="s">
        <v>436</v>
      </c>
      <c r="B132" s="342">
        <v>9</v>
      </c>
      <c r="C132" s="344" t="s">
        <v>442</v>
      </c>
      <c r="D132" s="941" t="s">
        <v>1148</v>
      </c>
      <c r="E132" s="942"/>
      <c r="F132" s="1038"/>
      <c r="G132" s="52" t="s">
        <v>468</v>
      </c>
      <c r="H132" s="1056" t="s">
        <v>1090</v>
      </c>
    </row>
    <row r="133" spans="1:8" ht="24.75" customHeight="1">
      <c r="A133" s="220" t="s">
        <v>1014</v>
      </c>
      <c r="B133" s="221"/>
      <c r="C133" s="50" t="s">
        <v>469</v>
      </c>
      <c r="D133" s="50" t="s">
        <v>470</v>
      </c>
      <c r="E133" s="38" t="s">
        <v>471</v>
      </c>
      <c r="F133" s="38" t="s">
        <v>472</v>
      </c>
      <c r="G133" s="38" t="s">
        <v>473</v>
      </c>
      <c r="H133" s="51" t="s">
        <v>474</v>
      </c>
    </row>
    <row r="134" spans="1:8" ht="24.75" customHeight="1">
      <c r="A134" s="1532" t="s">
        <v>1067</v>
      </c>
      <c r="B134" s="1533"/>
      <c r="C134" s="1097" t="s">
        <v>1149</v>
      </c>
      <c r="D134" s="1098" t="s">
        <v>1150</v>
      </c>
      <c r="E134" s="899">
        <v>1</v>
      </c>
      <c r="F134" s="1008">
        <v>200</v>
      </c>
      <c r="G134" s="1008">
        <f>E134*F134</f>
        <v>200</v>
      </c>
      <c r="H134" s="1099"/>
    </row>
    <row r="135" spans="1:8" ht="24.75" customHeight="1">
      <c r="A135" s="1532" t="s">
        <v>992</v>
      </c>
      <c r="B135" s="1533"/>
      <c r="C135" s="1100" t="s">
        <v>1152</v>
      </c>
      <c r="D135" s="990" t="s">
        <v>1153</v>
      </c>
      <c r="E135" s="899">
        <v>1</v>
      </c>
      <c r="F135" s="1008">
        <v>50</v>
      </c>
      <c r="G135" s="1008">
        <f>E135*F135</f>
        <v>50</v>
      </c>
      <c r="H135" s="46"/>
    </row>
    <row r="136" spans="1:8" ht="24.75" customHeight="1">
      <c r="A136" s="1532" t="s">
        <v>588</v>
      </c>
      <c r="B136" s="1533"/>
      <c r="C136" s="1101"/>
      <c r="D136" s="990" t="s">
        <v>467</v>
      </c>
      <c r="E136" s="1008">
        <v>0.12</v>
      </c>
      <c r="F136" s="1102">
        <v>900</v>
      </c>
      <c r="G136" s="1008">
        <f>E136*F136</f>
        <v>108</v>
      </c>
      <c r="H136" s="46"/>
    </row>
    <row r="137" spans="1:8" ht="24.75" customHeight="1">
      <c r="A137" s="1532" t="s">
        <v>1036</v>
      </c>
      <c r="B137" s="1533"/>
      <c r="C137" s="1103"/>
      <c r="D137" s="990" t="s">
        <v>467</v>
      </c>
      <c r="E137" s="1008">
        <v>0.03</v>
      </c>
      <c r="F137" s="1008">
        <v>800</v>
      </c>
      <c r="G137" s="1008">
        <f>E137*F137</f>
        <v>24</v>
      </c>
      <c r="H137" s="1104"/>
    </row>
    <row r="138" spans="1:8" ht="24.75" customHeight="1">
      <c r="A138" s="1532" t="s">
        <v>145</v>
      </c>
      <c r="B138" s="1533"/>
      <c r="C138" s="1100"/>
      <c r="D138" s="990" t="s">
        <v>467</v>
      </c>
      <c r="E138" s="1008">
        <v>0.1</v>
      </c>
      <c r="F138" s="1008">
        <v>700</v>
      </c>
      <c r="G138" s="1008">
        <f>E138*F138</f>
        <v>70</v>
      </c>
      <c r="H138" s="1105"/>
    </row>
    <row r="139" spans="1:8" ht="24.75" customHeight="1">
      <c r="A139" s="1532" t="s">
        <v>969</v>
      </c>
      <c r="B139" s="1533"/>
      <c r="C139" s="1100" t="s">
        <v>1155</v>
      </c>
      <c r="D139" s="990" t="s">
        <v>414</v>
      </c>
      <c r="E139" s="1008">
        <v>1</v>
      </c>
      <c r="F139" s="1008" t="s">
        <v>475</v>
      </c>
      <c r="G139" s="1008">
        <v>4</v>
      </c>
      <c r="H139" s="1106"/>
    </row>
    <row r="140" spans="1:8" ht="24.75" customHeight="1">
      <c r="A140" s="1532" t="s">
        <v>1071</v>
      </c>
      <c r="B140" s="1533"/>
      <c r="C140" s="1107"/>
      <c r="D140" s="990" t="s">
        <v>414</v>
      </c>
      <c r="E140" s="1008">
        <v>1</v>
      </c>
      <c r="F140" s="1008" t="s">
        <v>475</v>
      </c>
      <c r="G140" s="1008">
        <v>30</v>
      </c>
      <c r="H140" s="1104"/>
    </row>
    <row r="141" spans="1:8" ht="24.75" customHeight="1">
      <c r="A141" s="1532" t="s">
        <v>146</v>
      </c>
      <c r="B141" s="1533"/>
      <c r="C141" s="1108" t="s">
        <v>1156</v>
      </c>
      <c r="D141" s="990" t="s">
        <v>414</v>
      </c>
      <c r="E141" s="1008">
        <v>1</v>
      </c>
      <c r="F141" s="1008" t="s">
        <v>475</v>
      </c>
      <c r="G141" s="1008">
        <v>14</v>
      </c>
      <c r="H141" s="1109"/>
    </row>
    <row r="142" spans="1:8" ht="24.75" customHeight="1">
      <c r="A142" s="1532" t="s">
        <v>577</v>
      </c>
      <c r="B142" s="1533"/>
      <c r="C142" s="351"/>
      <c r="D142" s="40"/>
      <c r="E142" s="330"/>
      <c r="F142" s="330"/>
      <c r="G142" s="330">
        <f>SUM(G134:G141)</f>
        <v>500</v>
      </c>
      <c r="H142" s="1032"/>
    </row>
    <row r="143" spans="1:8" ht="24.75" customHeight="1">
      <c r="A143" s="327"/>
      <c r="B143" s="333"/>
      <c r="C143" s="335"/>
      <c r="D143" s="50"/>
      <c r="E143" s="336"/>
      <c r="F143" s="336"/>
      <c r="G143" s="336"/>
      <c r="H143" s="987"/>
    </row>
    <row r="144" spans="1:8" ht="24.75" customHeight="1" thickBot="1">
      <c r="A144" s="1033"/>
      <c r="B144" s="1034"/>
      <c r="C144" s="1034"/>
      <c r="D144" s="1035" t="s">
        <v>476</v>
      </c>
      <c r="E144" s="927" t="s">
        <v>965</v>
      </c>
      <c r="F144" s="1037" t="s">
        <v>438</v>
      </c>
      <c r="G144" s="354">
        <f>G142</f>
        <v>500</v>
      </c>
      <c r="H144" s="340"/>
    </row>
    <row r="145" spans="1:8" ht="24.75" customHeight="1">
      <c r="A145" s="341" t="s">
        <v>147</v>
      </c>
      <c r="B145" s="342">
        <v>10</v>
      </c>
      <c r="C145" s="344" t="s">
        <v>442</v>
      </c>
      <c r="D145" s="1096" t="s">
        <v>1142</v>
      </c>
      <c r="E145" s="396"/>
      <c r="F145" s="1040"/>
      <c r="G145" s="52" t="s">
        <v>468</v>
      </c>
      <c r="H145" s="1087" t="s">
        <v>990</v>
      </c>
    </row>
    <row r="146" spans="1:8" ht="24.75" customHeight="1">
      <c r="A146" s="1536" t="s">
        <v>148</v>
      </c>
      <c r="B146" s="1562"/>
      <c r="C146" s="888" t="s">
        <v>469</v>
      </c>
      <c r="D146" s="888" t="s">
        <v>470</v>
      </c>
      <c r="E146" s="897" t="s">
        <v>471</v>
      </c>
      <c r="F146" s="897" t="s">
        <v>472</v>
      </c>
      <c r="G146" s="897" t="s">
        <v>473</v>
      </c>
      <c r="H146" s="898" t="s">
        <v>474</v>
      </c>
    </row>
    <row r="147" spans="1:8" ht="30" customHeight="1">
      <c r="A147" s="1563" t="s">
        <v>1134</v>
      </c>
      <c r="B147" s="1561"/>
      <c r="C147" s="1088" t="s">
        <v>155</v>
      </c>
      <c r="D147" s="40" t="s">
        <v>990</v>
      </c>
      <c r="E147" s="899">
        <v>1</v>
      </c>
      <c r="F147" s="48">
        <v>8000</v>
      </c>
      <c r="G147" s="48">
        <f aca="true" t="shared" si="0" ref="G147:G153">E147*F147</f>
        <v>8000</v>
      </c>
      <c r="H147" s="41"/>
    </row>
    <row r="148" spans="1:8" ht="24.75" customHeight="1">
      <c r="A148" s="1532" t="s">
        <v>1205</v>
      </c>
      <c r="B148" s="1561"/>
      <c r="C148" s="768" t="s">
        <v>1206</v>
      </c>
      <c r="D148" s="40" t="s">
        <v>990</v>
      </c>
      <c r="E148" s="899">
        <v>1</v>
      </c>
      <c r="F148" s="48">
        <v>300</v>
      </c>
      <c r="G148" s="48">
        <f t="shared" si="0"/>
        <v>300</v>
      </c>
      <c r="H148" s="41"/>
    </row>
    <row r="149" spans="1:8" ht="24.75" customHeight="1">
      <c r="A149" s="1532" t="s">
        <v>1135</v>
      </c>
      <c r="B149" s="1561"/>
      <c r="C149" s="1007"/>
      <c r="D149" s="40" t="s">
        <v>990</v>
      </c>
      <c r="E149" s="899">
        <v>1</v>
      </c>
      <c r="F149" s="48">
        <v>100</v>
      </c>
      <c r="G149" s="48">
        <f t="shared" si="0"/>
        <v>100</v>
      </c>
      <c r="H149" s="1089"/>
    </row>
    <row r="150" spans="1:8" ht="24.75" customHeight="1">
      <c r="A150" s="1560" t="s">
        <v>1136</v>
      </c>
      <c r="B150" s="1561"/>
      <c r="C150" s="768"/>
      <c r="D150" s="40" t="s">
        <v>990</v>
      </c>
      <c r="E150" s="899">
        <v>1</v>
      </c>
      <c r="F150" s="48">
        <v>160</v>
      </c>
      <c r="G150" s="48">
        <f t="shared" si="0"/>
        <v>160</v>
      </c>
      <c r="H150" s="41" t="s">
        <v>1137</v>
      </c>
    </row>
    <row r="151" spans="1:8" ht="24.75" customHeight="1">
      <c r="A151" s="1532" t="s">
        <v>1138</v>
      </c>
      <c r="B151" s="1533"/>
      <c r="C151" s="768" t="s">
        <v>1204</v>
      </c>
      <c r="D151" s="1091" t="s">
        <v>1139</v>
      </c>
      <c r="E151" s="899">
        <v>1.6</v>
      </c>
      <c r="F151" s="48">
        <v>135</v>
      </c>
      <c r="G151" s="48">
        <f t="shared" si="0"/>
        <v>216</v>
      </c>
      <c r="H151" s="976" t="s">
        <v>1140</v>
      </c>
    </row>
    <row r="152" spans="1:8" ht="24.75" customHeight="1">
      <c r="A152" s="1532" t="s">
        <v>894</v>
      </c>
      <c r="B152" s="1533"/>
      <c r="C152" s="768"/>
      <c r="D152" s="38" t="s">
        <v>467</v>
      </c>
      <c r="E152" s="899">
        <v>0.04</v>
      </c>
      <c r="F152" s="48">
        <v>2200</v>
      </c>
      <c r="G152" s="48">
        <f t="shared" si="0"/>
        <v>88</v>
      </c>
      <c r="H152" s="41"/>
    </row>
    <row r="153" spans="1:8" ht="24.75" customHeight="1">
      <c r="A153" s="1532" t="s">
        <v>1141</v>
      </c>
      <c r="B153" s="1533"/>
      <c r="C153" s="1090"/>
      <c r="D153" s="40" t="s">
        <v>414</v>
      </c>
      <c r="E153" s="1008">
        <v>1</v>
      </c>
      <c r="F153" s="48">
        <v>26</v>
      </c>
      <c r="G153" s="48">
        <f t="shared" si="0"/>
        <v>26</v>
      </c>
      <c r="H153" s="41"/>
    </row>
    <row r="154" spans="1:8" ht="24.75" customHeight="1">
      <c r="A154" s="1539" t="s">
        <v>705</v>
      </c>
      <c r="B154" s="1540"/>
      <c r="C154" s="1092"/>
      <c r="D154" s="208"/>
      <c r="E154" s="1008"/>
      <c r="F154" s="208"/>
      <c r="G154" s="48">
        <f>SUM(G147:G153)</f>
        <v>8890</v>
      </c>
      <c r="H154" s="41"/>
    </row>
    <row r="155" spans="1:8" ht="24.75" customHeight="1">
      <c r="A155" s="1539"/>
      <c r="B155" s="1540"/>
      <c r="C155" s="1092"/>
      <c r="D155" s="208"/>
      <c r="E155" s="1008"/>
      <c r="F155" s="208"/>
      <c r="G155" s="48"/>
      <c r="H155" s="1093"/>
    </row>
    <row r="156" spans="1:8" ht="24.75" customHeight="1" thickBot="1">
      <c r="A156" s="337"/>
      <c r="B156" s="338"/>
      <c r="C156" s="338"/>
      <c r="D156" s="1094" t="s">
        <v>601</v>
      </c>
      <c r="E156" s="1019" t="str">
        <f>H145</f>
        <v>支</v>
      </c>
      <c r="F156" s="1095" t="s">
        <v>438</v>
      </c>
      <c r="G156" s="354">
        <f>G154</f>
        <v>8890</v>
      </c>
      <c r="H156" s="1009"/>
    </row>
    <row r="157" spans="1:8" ht="24.75" customHeight="1">
      <c r="A157" s="227"/>
      <c r="B157" s="29"/>
      <c r="C157" s="227"/>
      <c r="D157" s="227"/>
      <c r="E157" s="227"/>
      <c r="F157" s="227"/>
      <c r="G157" s="227"/>
      <c r="H157" s="227"/>
    </row>
    <row r="158" spans="1:8" ht="24.75" customHeight="1">
      <c r="A158" s="29" t="s">
        <v>457</v>
      </c>
      <c r="B158" s="29"/>
      <c r="C158" s="29"/>
      <c r="D158" s="29"/>
      <c r="E158" s="29" t="s">
        <v>458</v>
      </c>
      <c r="F158" s="29"/>
      <c r="G158" s="29"/>
      <c r="H158" s="29"/>
    </row>
    <row r="159" spans="1:8" ht="24.75" customHeight="1">
      <c r="A159" s="238" t="str">
        <f>A97</f>
        <v>經濟部水利署第十河川局</v>
      </c>
      <c r="B159" s="430"/>
      <c r="C159" s="430"/>
      <c r="D159" s="430"/>
      <c r="E159" s="430"/>
      <c r="F159" s="430"/>
      <c r="G159" s="430"/>
      <c r="H159" s="430"/>
    </row>
    <row r="160" spans="1:8" ht="24.75" customHeight="1">
      <c r="A160" s="239" t="str">
        <f>A98</f>
        <v>單  價  分  析  表</v>
      </c>
      <c r="B160" s="430"/>
      <c r="C160" s="430"/>
      <c r="D160" s="430"/>
      <c r="E160" s="430"/>
      <c r="F160" s="430"/>
      <c r="G160" s="430"/>
      <c r="H160" s="430"/>
    </row>
    <row r="161" spans="1:8" ht="24.75" customHeight="1">
      <c r="A161" s="1510" t="str">
        <f>A99</f>
        <v>工程名稱:基隆河整體治理計劃（前期計劃）瑞芳區塊介壽橋下游左右岸護岸工程</v>
      </c>
      <c r="B161" s="1510"/>
      <c r="C161" s="1510"/>
      <c r="D161" s="1510"/>
      <c r="E161" s="1510"/>
      <c r="F161" s="1510"/>
      <c r="G161" s="1510"/>
      <c r="H161" s="253" t="s">
        <v>1065</v>
      </c>
    </row>
    <row r="162" spans="1:8" ht="24.75" customHeight="1" thickBot="1">
      <c r="A162" s="1545" t="str">
        <f>A100</f>
        <v>施工地點：台北縣瑞芳鎮</v>
      </c>
      <c r="B162" s="1545"/>
      <c r="C162" s="1545"/>
      <c r="D162" s="1545"/>
      <c r="E162" s="431"/>
      <c r="F162" s="431"/>
      <c r="G162" s="1546" t="s">
        <v>26</v>
      </c>
      <c r="H162" s="1546"/>
    </row>
    <row r="163" spans="1:8" ht="24.75" customHeight="1">
      <c r="A163" s="1039" t="s">
        <v>436</v>
      </c>
      <c r="B163" s="1040">
        <v>11</v>
      </c>
      <c r="C163" s="1041" t="s">
        <v>442</v>
      </c>
      <c r="D163" s="941" t="s">
        <v>137</v>
      </c>
      <c r="E163" s="942"/>
      <c r="F163" s="943"/>
      <c r="G163" s="52" t="s">
        <v>468</v>
      </c>
      <c r="H163" s="934" t="s">
        <v>981</v>
      </c>
    </row>
    <row r="164" spans="1:8" ht="24.75" customHeight="1">
      <c r="A164" s="1532" t="s">
        <v>982</v>
      </c>
      <c r="B164" s="1538"/>
      <c r="C164" s="50" t="s">
        <v>469</v>
      </c>
      <c r="D164" s="40" t="s">
        <v>470</v>
      </c>
      <c r="E164" s="48" t="s">
        <v>471</v>
      </c>
      <c r="F164" s="408" t="s">
        <v>472</v>
      </c>
      <c r="G164" s="48" t="s">
        <v>473</v>
      </c>
      <c r="H164" s="945" t="s">
        <v>474</v>
      </c>
    </row>
    <row r="165" spans="1:8" ht="24.75" customHeight="1">
      <c r="A165" s="1532" t="s">
        <v>983</v>
      </c>
      <c r="B165" s="1538"/>
      <c r="C165" s="946" t="s">
        <v>984</v>
      </c>
      <c r="D165" s="40" t="s">
        <v>985</v>
      </c>
      <c r="E165" s="947">
        <v>1</v>
      </c>
      <c r="F165" s="48" t="s">
        <v>475</v>
      </c>
      <c r="G165" s="48">
        <v>255</v>
      </c>
      <c r="H165" s="945"/>
    </row>
    <row r="166" spans="1:8" ht="24.75" customHeight="1">
      <c r="A166" s="1532" t="s">
        <v>986</v>
      </c>
      <c r="B166" s="1538"/>
      <c r="C166" s="948" t="s">
        <v>987</v>
      </c>
      <c r="D166" s="40" t="s">
        <v>414</v>
      </c>
      <c r="E166" s="48">
        <v>1</v>
      </c>
      <c r="F166" s="48" t="s">
        <v>475</v>
      </c>
      <c r="G166" s="48">
        <v>25</v>
      </c>
      <c r="H166" s="46"/>
    </row>
    <row r="167" spans="1:8" ht="24.75" customHeight="1">
      <c r="A167" s="1532" t="s">
        <v>577</v>
      </c>
      <c r="B167" s="1538"/>
      <c r="C167" s="50"/>
      <c r="D167" s="40"/>
      <c r="E167" s="48"/>
      <c r="F167" s="949"/>
      <c r="G167" s="48">
        <f>G165+G166</f>
        <v>280</v>
      </c>
      <c r="H167" s="46"/>
    </row>
    <row r="168" spans="1:8" ht="24.75" customHeight="1">
      <c r="A168" s="416"/>
      <c r="B168" s="944"/>
      <c r="C168" s="50"/>
      <c r="D168" s="40"/>
      <c r="E168" s="48"/>
      <c r="F168" s="949"/>
      <c r="G168" s="48"/>
      <c r="H168" s="46"/>
    </row>
    <row r="169" spans="1:8" ht="24.75" customHeight="1">
      <c r="A169" s="1532"/>
      <c r="B169" s="1538"/>
      <c r="C169" s="276"/>
      <c r="D169" s="40"/>
      <c r="E169" s="48"/>
      <c r="F169" s="40"/>
      <c r="G169" s="48"/>
      <c r="H169" s="46"/>
    </row>
    <row r="170" spans="1:8" ht="24.75" customHeight="1">
      <c r="A170" s="1532"/>
      <c r="B170" s="1538"/>
      <c r="C170" s="49"/>
      <c r="D170" s="40"/>
      <c r="E170" s="233"/>
      <c r="F170" s="48"/>
      <c r="G170" s="48"/>
      <c r="H170" s="950"/>
    </row>
    <row r="171" spans="1:8" ht="24.75" customHeight="1">
      <c r="A171" s="1532"/>
      <c r="B171" s="1538"/>
      <c r="C171" s="951"/>
      <c r="D171" s="208"/>
      <c r="E171" s="208"/>
      <c r="F171" s="208"/>
      <c r="G171" s="48"/>
      <c r="H171" s="46"/>
    </row>
    <row r="172" spans="1:8" ht="24.75" customHeight="1">
      <c r="A172" s="327"/>
      <c r="B172" s="333"/>
      <c r="C172" s="335"/>
      <c r="D172" s="50"/>
      <c r="E172" s="336"/>
      <c r="F172" s="336"/>
      <c r="G172" s="336"/>
      <c r="H172" s="352"/>
    </row>
    <row r="173" spans="1:8" ht="24.75" customHeight="1" thickBot="1">
      <c r="A173" s="952"/>
      <c r="B173" s="953"/>
      <c r="C173" s="338"/>
      <c r="D173" s="353" t="s">
        <v>476</v>
      </c>
      <c r="E173" s="436" t="s">
        <v>988</v>
      </c>
      <c r="F173" s="339" t="s">
        <v>438</v>
      </c>
      <c r="G173" s="354">
        <f>G167</f>
        <v>280</v>
      </c>
      <c r="H173" s="355"/>
    </row>
    <row r="174" spans="1:8" ht="24.75" customHeight="1">
      <c r="A174" s="358" t="s">
        <v>436</v>
      </c>
      <c r="B174" s="359">
        <v>12</v>
      </c>
      <c r="C174" s="344" t="s">
        <v>442</v>
      </c>
      <c r="D174" s="1550" t="s">
        <v>1157</v>
      </c>
      <c r="E174" s="1566"/>
      <c r="F174" s="1567"/>
      <c r="G174" s="360" t="s">
        <v>468</v>
      </c>
      <c r="H174" s="423" t="s">
        <v>989</v>
      </c>
    </row>
    <row r="175" spans="1:8" ht="24.75" customHeight="1">
      <c r="A175" s="220" t="s">
        <v>592</v>
      </c>
      <c r="B175" s="221"/>
      <c r="C175" s="361" t="s">
        <v>949</v>
      </c>
      <c r="D175" s="361" t="s">
        <v>470</v>
      </c>
      <c r="E175" s="362" t="s">
        <v>471</v>
      </c>
      <c r="F175" s="408" t="s">
        <v>472</v>
      </c>
      <c r="G175" s="362" t="s">
        <v>473</v>
      </c>
      <c r="H175" s="363" t="s">
        <v>474</v>
      </c>
    </row>
    <row r="176" spans="1:8" ht="24.75" customHeight="1">
      <c r="A176" s="1532" t="s">
        <v>1158</v>
      </c>
      <c r="B176" s="1538"/>
      <c r="C176" s="954" t="s">
        <v>130</v>
      </c>
      <c r="D176" s="40" t="s">
        <v>990</v>
      </c>
      <c r="E176" s="48">
        <v>1</v>
      </c>
      <c r="F176" s="48">
        <v>100</v>
      </c>
      <c r="G176" s="48">
        <f>E176*F176</f>
        <v>100</v>
      </c>
      <c r="H176" s="46" t="s">
        <v>129</v>
      </c>
    </row>
    <row r="177" spans="1:8" ht="24.75" customHeight="1">
      <c r="A177" s="1532" t="s">
        <v>1159</v>
      </c>
      <c r="B177" s="1538"/>
      <c r="C177" s="946"/>
      <c r="D177" s="40" t="s">
        <v>991</v>
      </c>
      <c r="E177" s="947">
        <v>1</v>
      </c>
      <c r="F177" s="48">
        <v>130</v>
      </c>
      <c r="G177" s="48">
        <f>E177*F177</f>
        <v>130</v>
      </c>
      <c r="H177" s="945"/>
    </row>
    <row r="178" spans="1:8" ht="24.75" customHeight="1">
      <c r="A178" s="1532" t="s">
        <v>992</v>
      </c>
      <c r="B178" s="1538"/>
      <c r="C178" s="955"/>
      <c r="D178" s="40" t="s">
        <v>974</v>
      </c>
      <c r="E178" s="48">
        <v>1</v>
      </c>
      <c r="F178" s="48" t="s">
        <v>475</v>
      </c>
      <c r="G178" s="48">
        <v>45</v>
      </c>
      <c r="H178" s="46"/>
    </row>
    <row r="179" spans="1:8" ht="24.75" customHeight="1">
      <c r="A179" s="1532" t="s">
        <v>993</v>
      </c>
      <c r="B179" s="1538"/>
      <c r="C179" s="50"/>
      <c r="D179" s="40" t="s">
        <v>974</v>
      </c>
      <c r="E179" s="48">
        <v>1</v>
      </c>
      <c r="F179" s="48" t="s">
        <v>475</v>
      </c>
      <c r="G179" s="48">
        <v>25</v>
      </c>
      <c r="H179" s="46"/>
    </row>
    <row r="180" spans="1:8" ht="24.75" customHeight="1">
      <c r="A180" s="1532" t="s">
        <v>577</v>
      </c>
      <c r="B180" s="1538"/>
      <c r="C180" s="276"/>
      <c r="D180" s="40"/>
      <c r="E180" s="48"/>
      <c r="F180" s="40"/>
      <c r="G180" s="48">
        <f>SUM(G176:G179)</f>
        <v>300</v>
      </c>
      <c r="H180" s="46"/>
    </row>
    <row r="181" spans="1:8" ht="24.75" customHeight="1">
      <c r="A181" s="416"/>
      <c r="B181" s="878"/>
      <c r="C181" s="351"/>
      <c r="D181" s="40"/>
      <c r="E181" s="330"/>
      <c r="F181" s="330"/>
      <c r="G181" s="48"/>
      <c r="H181" s="364"/>
    </row>
    <row r="182" spans="1:8" ht="24.75" customHeight="1">
      <c r="A182" s="414"/>
      <c r="B182" s="415"/>
      <c r="C182" s="365"/>
      <c r="D182" s="366"/>
      <c r="E182" s="367"/>
      <c r="F182" s="368"/>
      <c r="G182" s="368"/>
      <c r="H182" s="383"/>
    </row>
    <row r="183" spans="1:8" ht="24.75" customHeight="1">
      <c r="A183" s="414"/>
      <c r="B183" s="415"/>
      <c r="C183" s="369"/>
      <c r="D183" s="362"/>
      <c r="E183" s="370"/>
      <c r="F183" s="368"/>
      <c r="G183" s="368"/>
      <c r="H183" s="364"/>
    </row>
    <row r="184" spans="1:8" ht="24.75" customHeight="1">
      <c r="A184" s="414"/>
      <c r="B184" s="415"/>
      <c r="C184" s="365"/>
      <c r="D184" s="366"/>
      <c r="E184" s="367"/>
      <c r="F184" s="368"/>
      <c r="G184" s="368"/>
      <c r="H184" s="364"/>
    </row>
    <row r="185" spans="1:8" ht="24.75" customHeight="1">
      <c r="A185" s="371"/>
      <c r="B185" s="372"/>
      <c r="C185" s="373"/>
      <c r="D185" s="366"/>
      <c r="E185" s="374"/>
      <c r="F185" s="368"/>
      <c r="G185" s="368"/>
      <c r="H185" s="375"/>
    </row>
    <row r="186" spans="1:8" ht="24.75" customHeight="1">
      <c r="A186" s="371"/>
      <c r="B186" s="372"/>
      <c r="C186" s="373"/>
      <c r="D186" s="366"/>
      <c r="E186" s="374"/>
      <c r="F186" s="368"/>
      <c r="G186" s="368"/>
      <c r="H186" s="375"/>
    </row>
    <row r="187" spans="1:8" ht="24.75" customHeight="1">
      <c r="A187" s="371"/>
      <c r="B187" s="372"/>
      <c r="C187" s="373"/>
      <c r="D187" s="366"/>
      <c r="E187" s="374"/>
      <c r="F187" s="368"/>
      <c r="G187" s="368"/>
      <c r="H187" s="375"/>
    </row>
    <row r="188" spans="1:8" ht="24.75" customHeight="1" thickBot="1">
      <c r="A188" s="337"/>
      <c r="B188" s="338"/>
      <c r="C188" s="338"/>
      <c r="D188" s="353" t="s">
        <v>476</v>
      </c>
      <c r="E188" s="339" t="s">
        <v>989</v>
      </c>
      <c r="F188" s="956" t="s">
        <v>438</v>
      </c>
      <c r="G188" s="957">
        <f>G180</f>
        <v>300</v>
      </c>
      <c r="H188" s="382"/>
    </row>
    <row r="189" spans="1:8" ht="24.75" customHeight="1">
      <c r="A189" s="227"/>
      <c r="B189" s="29"/>
      <c r="C189" s="227"/>
      <c r="D189" s="227"/>
      <c r="E189" s="227"/>
      <c r="F189" s="227"/>
      <c r="G189" s="227"/>
      <c r="H189" s="227"/>
    </row>
    <row r="190" spans="1:8" ht="24.75" customHeight="1">
      <c r="A190" s="29" t="s">
        <v>457</v>
      </c>
      <c r="B190" s="29"/>
      <c r="C190" s="29"/>
      <c r="D190" s="29"/>
      <c r="E190" s="29" t="s">
        <v>458</v>
      </c>
      <c r="F190" s="29"/>
      <c r="G190" s="29"/>
      <c r="H190" s="29"/>
    </row>
    <row r="191" spans="1:8" ht="24.75" customHeight="1">
      <c r="A191" s="238" t="str">
        <f>A159</f>
        <v>經濟部水利署第十河川局</v>
      </c>
      <c r="B191" s="430"/>
      <c r="C191" s="430"/>
      <c r="D191" s="430"/>
      <c r="E191" s="430"/>
      <c r="F191" s="430"/>
      <c r="G191" s="430"/>
      <c r="H191" s="430"/>
    </row>
    <row r="192" spans="1:8" ht="24.75" customHeight="1">
      <c r="A192" s="239" t="str">
        <f>A160</f>
        <v>單  價  分  析  表</v>
      </c>
      <c r="B192" s="430"/>
      <c r="C192" s="430"/>
      <c r="D192" s="430"/>
      <c r="E192" s="430"/>
      <c r="F192" s="430"/>
      <c r="G192" s="430"/>
      <c r="H192" s="430"/>
    </row>
    <row r="193" spans="1:8" ht="24.75" customHeight="1">
      <c r="A193" s="1510" t="str">
        <f>A161</f>
        <v>工程名稱:基隆河整體治理計劃（前期計劃）瑞芳區塊介壽橋下游左右岸護岸工程</v>
      </c>
      <c r="B193" s="1510"/>
      <c r="C193" s="1510"/>
      <c r="D193" s="1510"/>
      <c r="E193" s="1510"/>
      <c r="F193" s="1510"/>
      <c r="G193" s="1510"/>
      <c r="H193" s="253" t="s">
        <v>1065</v>
      </c>
    </row>
    <row r="194" spans="1:8" ht="24.75" customHeight="1" thickBot="1">
      <c r="A194" s="1545" t="str">
        <f>A162</f>
        <v>施工地點：台北縣瑞芳鎮</v>
      </c>
      <c r="B194" s="1545"/>
      <c r="C194" s="1545"/>
      <c r="D194" s="1545"/>
      <c r="E194" s="431"/>
      <c r="F194" s="431"/>
      <c r="G194" s="1546" t="s">
        <v>25</v>
      </c>
      <c r="H194" s="1546"/>
    </row>
    <row r="195" spans="1:8" ht="24.75" customHeight="1">
      <c r="A195" s="358" t="s">
        <v>436</v>
      </c>
      <c r="B195" s="359">
        <v>13</v>
      </c>
      <c r="C195" s="344" t="s">
        <v>442</v>
      </c>
      <c r="D195" s="1550" t="s">
        <v>994</v>
      </c>
      <c r="E195" s="1551"/>
      <c r="F195" s="1552"/>
      <c r="G195" s="360" t="s">
        <v>468</v>
      </c>
      <c r="H195" s="423" t="s">
        <v>995</v>
      </c>
    </row>
    <row r="196" spans="1:8" ht="24.75" customHeight="1">
      <c r="A196" s="220" t="s">
        <v>996</v>
      </c>
      <c r="B196" s="221"/>
      <c r="C196" s="361" t="s">
        <v>950</v>
      </c>
      <c r="D196" s="361" t="s">
        <v>470</v>
      </c>
      <c r="E196" s="362" t="s">
        <v>471</v>
      </c>
      <c r="F196" s="408" t="s">
        <v>472</v>
      </c>
      <c r="G196" s="362" t="s">
        <v>473</v>
      </c>
      <c r="H196" s="363" t="s">
        <v>474</v>
      </c>
    </row>
    <row r="197" spans="1:8" ht="24.75" customHeight="1">
      <c r="A197" s="1532" t="s">
        <v>136</v>
      </c>
      <c r="B197" s="1538"/>
      <c r="C197" s="958" t="s">
        <v>997</v>
      </c>
      <c r="D197" s="889" t="s">
        <v>998</v>
      </c>
      <c r="E197" s="48">
        <v>15</v>
      </c>
      <c r="F197" s="48">
        <f>G173</f>
        <v>280</v>
      </c>
      <c r="G197" s="48">
        <f>E197*F197</f>
        <v>4200</v>
      </c>
      <c r="H197" s="959" t="s">
        <v>1217</v>
      </c>
    </row>
    <row r="198" spans="1:8" ht="30" customHeight="1">
      <c r="A198" s="1532" t="s">
        <v>139</v>
      </c>
      <c r="B198" s="1538"/>
      <c r="C198" s="960" t="s">
        <v>999</v>
      </c>
      <c r="D198" s="936" t="s">
        <v>1000</v>
      </c>
      <c r="E198" s="947">
        <v>18.5</v>
      </c>
      <c r="F198" s="48">
        <v>160</v>
      </c>
      <c r="G198" s="48">
        <f>E198*F198</f>
        <v>2960</v>
      </c>
      <c r="H198" s="959"/>
    </row>
    <row r="199" spans="1:8" ht="24.75" customHeight="1">
      <c r="A199" s="1532" t="s">
        <v>1001</v>
      </c>
      <c r="B199" s="1538"/>
      <c r="C199" s="961" t="s">
        <v>1002</v>
      </c>
      <c r="D199" s="936" t="s">
        <v>1003</v>
      </c>
      <c r="E199" s="48">
        <v>5.87</v>
      </c>
      <c r="F199" s="48">
        <v>30</v>
      </c>
      <c r="G199" s="48">
        <f>E199*F199</f>
        <v>176.1</v>
      </c>
      <c r="H199" s="959" t="s">
        <v>1004</v>
      </c>
    </row>
    <row r="200" spans="1:8" ht="24.75" customHeight="1">
      <c r="A200" s="1532" t="s">
        <v>1005</v>
      </c>
      <c r="B200" s="1538"/>
      <c r="C200" s="962" t="s">
        <v>1006</v>
      </c>
      <c r="D200" s="936" t="s">
        <v>1007</v>
      </c>
      <c r="E200" s="48">
        <v>24.4</v>
      </c>
      <c r="F200" s="48">
        <v>18</v>
      </c>
      <c r="G200" s="48">
        <f>E200*F200</f>
        <v>439.2</v>
      </c>
      <c r="H200" s="959" t="s">
        <v>1008</v>
      </c>
    </row>
    <row r="201" spans="1:8" ht="24.75" customHeight="1">
      <c r="A201" s="1532" t="s">
        <v>1009</v>
      </c>
      <c r="B201" s="1538"/>
      <c r="C201" s="963"/>
      <c r="D201" s="936" t="s">
        <v>1010</v>
      </c>
      <c r="E201" s="330">
        <v>1</v>
      </c>
      <c r="F201" s="48" t="s">
        <v>1011</v>
      </c>
      <c r="G201" s="48">
        <v>44.7</v>
      </c>
      <c r="H201" s="363"/>
    </row>
    <row r="202" spans="1:8" ht="24.75" customHeight="1">
      <c r="A202" s="1532" t="s">
        <v>1012</v>
      </c>
      <c r="B202" s="1538"/>
      <c r="C202" s="365"/>
      <c r="D202" s="366"/>
      <c r="E202" s="367"/>
      <c r="F202" s="368"/>
      <c r="G202" s="368">
        <f>SUM(G197:G201)</f>
        <v>7820</v>
      </c>
      <c r="H202" s="363"/>
    </row>
    <row r="203" spans="1:8" ht="24.75" customHeight="1">
      <c r="A203" s="416"/>
      <c r="B203" s="944"/>
      <c r="C203" s="365"/>
      <c r="D203" s="366"/>
      <c r="E203" s="367"/>
      <c r="F203" s="368"/>
      <c r="G203" s="368"/>
      <c r="H203" s="363"/>
    </row>
    <row r="204" spans="1:8" ht="24.75" customHeight="1">
      <c r="A204" s="416"/>
      <c r="B204" s="944"/>
      <c r="C204" s="365"/>
      <c r="D204" s="366"/>
      <c r="E204" s="367"/>
      <c r="F204" s="368"/>
      <c r="G204" s="368"/>
      <c r="H204" s="363"/>
    </row>
    <row r="205" spans="1:8" ht="24.75" customHeight="1">
      <c r="A205" s="416"/>
      <c r="B205" s="944"/>
      <c r="C205" s="365"/>
      <c r="D205" s="366"/>
      <c r="E205" s="367"/>
      <c r="F205" s="368"/>
      <c r="G205" s="368"/>
      <c r="H205" s="363"/>
    </row>
    <row r="206" spans="1:8" ht="24.75" customHeight="1">
      <c r="A206" s="416"/>
      <c r="B206" s="944"/>
      <c r="C206" s="365"/>
      <c r="D206" s="366"/>
      <c r="E206" s="367"/>
      <c r="F206" s="368"/>
      <c r="G206" s="368"/>
      <c r="H206" s="363"/>
    </row>
    <row r="207" spans="1:8" ht="24.75" customHeight="1">
      <c r="A207" s="1532"/>
      <c r="B207" s="1538"/>
      <c r="C207" s="369"/>
      <c r="D207" s="362"/>
      <c r="E207" s="370"/>
      <c r="F207" s="368"/>
      <c r="G207" s="368"/>
      <c r="H207" s="364"/>
    </row>
    <row r="208" spans="1:8" ht="24.75" customHeight="1" thickBot="1">
      <c r="A208" s="337"/>
      <c r="B208" s="338"/>
      <c r="C208" s="338"/>
      <c r="D208" s="353" t="s">
        <v>476</v>
      </c>
      <c r="E208" s="339" t="s">
        <v>1013</v>
      </c>
      <c r="F208" s="439" t="s">
        <v>438</v>
      </c>
      <c r="G208" s="957">
        <f>G202</f>
        <v>7820</v>
      </c>
      <c r="H208" s="382"/>
    </row>
    <row r="209" spans="1:8" ht="24.75" customHeight="1">
      <c r="A209" s="341" t="s">
        <v>436</v>
      </c>
      <c r="B209" s="342">
        <v>14</v>
      </c>
      <c r="C209" s="1046" t="s">
        <v>442</v>
      </c>
      <c r="D209" s="964" t="s">
        <v>1361</v>
      </c>
      <c r="E209" s="942"/>
      <c r="F209" s="943"/>
      <c r="G209" s="52" t="s">
        <v>468</v>
      </c>
      <c r="H209" s="965" t="s">
        <v>985</v>
      </c>
    </row>
    <row r="210" spans="1:8" ht="24.75" customHeight="1">
      <c r="A210" s="966" t="s">
        <v>1014</v>
      </c>
      <c r="B210" s="967"/>
      <c r="C210" s="968" t="s">
        <v>469</v>
      </c>
      <c r="D210" s="968" t="s">
        <v>470</v>
      </c>
      <c r="E210" s="969" t="s">
        <v>471</v>
      </c>
      <c r="F210" s="969" t="s">
        <v>472</v>
      </c>
      <c r="G210" s="969" t="s">
        <v>473</v>
      </c>
      <c r="H210" s="970" t="s">
        <v>474</v>
      </c>
    </row>
    <row r="211" spans="1:8" ht="24.75" customHeight="1">
      <c r="A211" s="1532" t="s">
        <v>1015</v>
      </c>
      <c r="B211" s="1533"/>
      <c r="C211" s="971" t="s">
        <v>151</v>
      </c>
      <c r="D211" s="38" t="s">
        <v>1016</v>
      </c>
      <c r="E211" s="972">
        <v>0.52</v>
      </c>
      <c r="F211" s="330">
        <f>G17</f>
        <v>1910</v>
      </c>
      <c r="G211" s="330">
        <f>E211*F211</f>
        <v>993.2</v>
      </c>
      <c r="H211" s="973" t="s">
        <v>1017</v>
      </c>
    </row>
    <row r="212" spans="1:8" ht="24.75" customHeight="1">
      <c r="A212" s="1532" t="s">
        <v>1018</v>
      </c>
      <c r="B212" s="1533"/>
      <c r="C212" s="974"/>
      <c r="D212" s="975" t="s">
        <v>1019</v>
      </c>
      <c r="E212" s="346">
        <v>2</v>
      </c>
      <c r="F212" s="330">
        <v>380</v>
      </c>
      <c r="G212" s="330">
        <f>E212*F212</f>
        <v>760</v>
      </c>
      <c r="H212" s="973" t="s">
        <v>1088</v>
      </c>
    </row>
    <row r="213" spans="1:8" ht="24.75" customHeight="1">
      <c r="A213" s="1532" t="str">
        <f>D101</f>
        <v>鐵模損耗</v>
      </c>
      <c r="B213" s="1533"/>
      <c r="C213" s="50" t="s">
        <v>1377</v>
      </c>
      <c r="D213" s="975" t="str">
        <f>H132</f>
        <v>m2</v>
      </c>
      <c r="E213" s="346">
        <v>1.95</v>
      </c>
      <c r="F213" s="330">
        <f>G114</f>
        <v>270</v>
      </c>
      <c r="G213" s="330">
        <f>E213*F213</f>
        <v>526.5</v>
      </c>
      <c r="H213" s="973" t="s">
        <v>1376</v>
      </c>
    </row>
    <row r="214" spans="1:8" ht="24.75" customHeight="1">
      <c r="A214" s="1532" t="s">
        <v>1020</v>
      </c>
      <c r="B214" s="1533"/>
      <c r="C214" s="974"/>
      <c r="D214" s="40" t="s">
        <v>1021</v>
      </c>
      <c r="E214" s="935">
        <v>45.53</v>
      </c>
      <c r="F214" s="330">
        <v>18</v>
      </c>
      <c r="G214" s="330">
        <f>E214*F214</f>
        <v>819.54</v>
      </c>
      <c r="H214" s="976" t="s">
        <v>1022</v>
      </c>
    </row>
    <row r="215" spans="1:8" ht="24.75" customHeight="1">
      <c r="A215" s="1532" t="s">
        <v>964</v>
      </c>
      <c r="B215" s="1533"/>
      <c r="C215" s="349"/>
      <c r="D215" s="332" t="s">
        <v>414</v>
      </c>
      <c r="E215" s="350">
        <v>1</v>
      </c>
      <c r="F215" s="330" t="s">
        <v>475</v>
      </c>
      <c r="G215" s="330">
        <v>20.76</v>
      </c>
      <c r="H215" s="977"/>
    </row>
    <row r="216" spans="1:8" ht="24.75" customHeight="1">
      <c r="A216" s="1532" t="s">
        <v>577</v>
      </c>
      <c r="B216" s="1533"/>
      <c r="C216" s="349"/>
      <c r="D216" s="332"/>
      <c r="E216" s="350"/>
      <c r="F216" s="330"/>
      <c r="G216" s="330">
        <f>SUM(G211:G215)</f>
        <v>3120</v>
      </c>
      <c r="H216" s="46"/>
    </row>
    <row r="217" spans="1:8" ht="24.75" customHeight="1">
      <c r="A217" s="978"/>
      <c r="B217" s="979"/>
      <c r="C217" s="980"/>
      <c r="D217" s="981"/>
      <c r="E217" s="982"/>
      <c r="F217" s="983"/>
      <c r="G217" s="983"/>
      <c r="H217" s="46"/>
    </row>
    <row r="218" spans="1:8" ht="24.75" customHeight="1">
      <c r="A218" s="327"/>
      <c r="B218" s="333"/>
      <c r="C218" s="335"/>
      <c r="D218" s="50"/>
      <c r="E218" s="336"/>
      <c r="F218" s="336"/>
      <c r="G218" s="336"/>
      <c r="H218" s="987"/>
    </row>
    <row r="219" spans="1:8" ht="24.75" customHeight="1" thickBot="1">
      <c r="A219" s="337"/>
      <c r="B219" s="338"/>
      <c r="C219" s="338"/>
      <c r="D219" s="988" t="s">
        <v>1023</v>
      </c>
      <c r="E219" s="339" t="s">
        <v>1024</v>
      </c>
      <c r="F219" s="440" t="s">
        <v>438</v>
      </c>
      <c r="G219" s="354">
        <f>G216</f>
        <v>3120</v>
      </c>
      <c r="H219" s="340"/>
    </row>
    <row r="220" spans="1:8" ht="24.75" customHeight="1">
      <c r="A220" s="227"/>
      <c r="B220" s="29"/>
      <c r="C220" s="227"/>
      <c r="D220" s="227"/>
      <c r="E220" s="227"/>
      <c r="F220" s="227"/>
      <c r="G220" s="227"/>
      <c r="H220" s="227"/>
    </row>
    <row r="221" spans="1:8" ht="24.75" customHeight="1">
      <c r="A221" s="29" t="s">
        <v>457</v>
      </c>
      <c r="B221" s="29"/>
      <c r="C221" s="29"/>
      <c r="D221" s="29"/>
      <c r="E221" s="29" t="s">
        <v>458</v>
      </c>
      <c r="F221" s="29"/>
      <c r="G221" s="29"/>
      <c r="H221" s="29"/>
    </row>
    <row r="222" spans="1:8" ht="24.75" customHeight="1">
      <c r="A222" s="238" t="str">
        <f>A191</f>
        <v>經濟部水利署第十河川局</v>
      </c>
      <c r="B222" s="430"/>
      <c r="C222" s="430"/>
      <c r="D222" s="430"/>
      <c r="E222" s="430"/>
      <c r="F222" s="430"/>
      <c r="G222" s="430"/>
      <c r="H222" s="430"/>
    </row>
    <row r="223" spans="1:8" ht="24.75" customHeight="1">
      <c r="A223" s="239" t="str">
        <f>A192</f>
        <v>單  價  分  析  表</v>
      </c>
      <c r="B223" s="430"/>
      <c r="C223" s="430"/>
      <c r="D223" s="430"/>
      <c r="E223" s="430"/>
      <c r="F223" s="430"/>
      <c r="G223" s="430"/>
      <c r="H223" s="430"/>
    </row>
    <row r="224" spans="1:8" ht="24.75" customHeight="1">
      <c r="A224" s="1510" t="str">
        <f>A193</f>
        <v>工程名稱:基隆河整體治理計劃（前期計劃）瑞芳區塊介壽橋下游左右岸護岸工程</v>
      </c>
      <c r="B224" s="1510"/>
      <c r="C224" s="1510"/>
      <c r="D224" s="1510"/>
      <c r="E224" s="1510"/>
      <c r="F224" s="1510"/>
      <c r="G224" s="1510"/>
      <c r="H224" s="253" t="s">
        <v>1065</v>
      </c>
    </row>
    <row r="225" spans="1:8" ht="24.75" customHeight="1" thickBot="1">
      <c r="A225" s="1545" t="str">
        <f>A194</f>
        <v>施工地點：台北縣瑞芳鎮</v>
      </c>
      <c r="B225" s="1545"/>
      <c r="C225" s="1545"/>
      <c r="D225" s="1545"/>
      <c r="E225" s="431"/>
      <c r="F225" s="431"/>
      <c r="G225" s="1546" t="s">
        <v>24</v>
      </c>
      <c r="H225" s="1546"/>
    </row>
    <row r="226" spans="1:8" ht="24.75" customHeight="1">
      <c r="A226" s="341" t="s">
        <v>436</v>
      </c>
      <c r="B226" s="342">
        <v>15</v>
      </c>
      <c r="C226" s="344" t="s">
        <v>442</v>
      </c>
      <c r="D226" s="1569" t="s">
        <v>1190</v>
      </c>
      <c r="E226" s="1570"/>
      <c r="F226" s="1571"/>
      <c r="G226" s="52" t="s">
        <v>468</v>
      </c>
      <c r="H226" s="965" t="s">
        <v>1025</v>
      </c>
    </row>
    <row r="227" spans="1:8" ht="24.75" customHeight="1">
      <c r="A227" s="220" t="s">
        <v>559</v>
      </c>
      <c r="B227" s="221"/>
      <c r="C227" s="50" t="s">
        <v>469</v>
      </c>
      <c r="D227" s="50" t="s">
        <v>470</v>
      </c>
      <c r="E227" s="38" t="s">
        <v>471</v>
      </c>
      <c r="F227" s="38" t="s">
        <v>472</v>
      </c>
      <c r="G227" s="38" t="s">
        <v>473</v>
      </c>
      <c r="H227" s="51" t="s">
        <v>474</v>
      </c>
    </row>
    <row r="228" spans="1:8" ht="24.75" customHeight="1">
      <c r="A228" s="1614" t="s">
        <v>1195</v>
      </c>
      <c r="B228" s="1533"/>
      <c r="C228" s="1138" t="s">
        <v>1196</v>
      </c>
      <c r="D228" s="40" t="s">
        <v>1197</v>
      </c>
      <c r="E228" s="989">
        <v>1</v>
      </c>
      <c r="F228" s="330">
        <v>2600</v>
      </c>
      <c r="G228" s="330">
        <f>E228*F228</f>
        <v>2600</v>
      </c>
      <c r="H228" s="41"/>
    </row>
    <row r="229" spans="1:8" ht="24.75" customHeight="1">
      <c r="A229" s="1532" t="s">
        <v>1198</v>
      </c>
      <c r="B229" s="1533"/>
      <c r="C229" s="768" t="s">
        <v>1027</v>
      </c>
      <c r="D229" s="40" t="s">
        <v>576</v>
      </c>
      <c r="E229" s="330">
        <v>1</v>
      </c>
      <c r="F229" s="331">
        <v>120</v>
      </c>
      <c r="G229" s="330">
        <f>E229*F229</f>
        <v>120</v>
      </c>
      <c r="H229" s="41"/>
    </row>
    <row r="230" spans="1:8" ht="24.75" customHeight="1">
      <c r="A230" s="1532" t="s">
        <v>1199</v>
      </c>
      <c r="B230" s="1533"/>
      <c r="C230" s="1045"/>
      <c r="D230" s="40" t="s">
        <v>1201</v>
      </c>
      <c r="E230" s="330">
        <v>0.05</v>
      </c>
      <c r="F230" s="330">
        <f>G46</f>
        <v>2450</v>
      </c>
      <c r="G230" s="330">
        <f>E230*F230</f>
        <v>122.5</v>
      </c>
      <c r="H230" s="973" t="s">
        <v>1218</v>
      </c>
    </row>
    <row r="231" spans="1:8" ht="24.75" customHeight="1">
      <c r="A231" s="1532" t="s">
        <v>993</v>
      </c>
      <c r="B231" s="1533"/>
      <c r="C231" s="351"/>
      <c r="D231" s="40" t="s">
        <v>414</v>
      </c>
      <c r="E231" s="330">
        <v>1</v>
      </c>
      <c r="F231" s="330" t="s">
        <v>475</v>
      </c>
      <c r="G231" s="330">
        <v>17.5</v>
      </c>
      <c r="H231" s="46"/>
    </row>
    <row r="232" spans="1:8" ht="24.75" customHeight="1">
      <c r="A232" s="1532" t="s">
        <v>577</v>
      </c>
      <c r="B232" s="1533"/>
      <c r="C232" s="993"/>
      <c r="D232" s="990"/>
      <c r="E232" s="991"/>
      <c r="F232" s="991"/>
      <c r="G232" s="991">
        <f>SUM(G228:G231)</f>
        <v>2860</v>
      </c>
      <c r="H232" s="992"/>
    </row>
    <row r="233" spans="1:8" ht="24.75" customHeight="1">
      <c r="A233" s="1532"/>
      <c r="B233" s="1533"/>
      <c r="C233" s="530"/>
      <c r="D233" s="40"/>
      <c r="E233" s="330"/>
      <c r="F233" s="330"/>
      <c r="G233" s="330"/>
      <c r="H233" s="994"/>
    </row>
    <row r="234" spans="1:8" ht="24.75" customHeight="1">
      <c r="A234" s="1532"/>
      <c r="B234" s="1533"/>
      <c r="C234" s="995"/>
      <c r="D234" s="40"/>
      <c r="E234" s="989"/>
      <c r="F234" s="331"/>
      <c r="G234" s="330"/>
      <c r="H234" s="41"/>
    </row>
    <row r="235" spans="1:8" ht="24.75" customHeight="1">
      <c r="A235" s="1532"/>
      <c r="B235" s="1533"/>
      <c r="C235" s="351"/>
      <c r="D235" s="40"/>
      <c r="E235" s="330"/>
      <c r="F235" s="330"/>
      <c r="G235" s="330"/>
      <c r="H235" s="46"/>
    </row>
    <row r="236" spans="1:8" ht="24.75" customHeight="1">
      <c r="A236" s="1532"/>
      <c r="B236" s="1533"/>
      <c r="C236" s="276"/>
      <c r="D236" s="40"/>
      <c r="E236" s="48"/>
      <c r="F236" s="48"/>
      <c r="G236" s="48"/>
      <c r="H236" s="996"/>
    </row>
    <row r="237" spans="1:8" ht="24.75" customHeight="1">
      <c r="A237" s="328"/>
      <c r="B237" s="333"/>
      <c r="C237" s="997"/>
      <c r="D237" s="40"/>
      <c r="E237" s="989"/>
      <c r="F237" s="331"/>
      <c r="G237" s="330"/>
      <c r="H237" s="207"/>
    </row>
    <row r="238" spans="1:8" ht="24.75" customHeight="1">
      <c r="A238" s="328"/>
      <c r="B238" s="333"/>
      <c r="C238" s="351"/>
      <c r="D238" s="40"/>
      <c r="E238" s="330"/>
      <c r="F238" s="330"/>
      <c r="G238" s="330"/>
      <c r="H238" s="46"/>
    </row>
    <row r="239" spans="1:8" ht="24.75" customHeight="1" thickBot="1">
      <c r="A239" s="337"/>
      <c r="B239" s="338"/>
      <c r="C239" s="338"/>
      <c r="D239" s="998" t="s">
        <v>589</v>
      </c>
      <c r="E239" s="339" t="s">
        <v>1028</v>
      </c>
      <c r="F239" s="440" t="s">
        <v>438</v>
      </c>
      <c r="G239" s="1187">
        <f>G232</f>
        <v>2860</v>
      </c>
      <c r="H239" s="340"/>
    </row>
    <row r="240" spans="1:8" ht="24.75" customHeight="1">
      <c r="A240" s="341" t="s">
        <v>436</v>
      </c>
      <c r="B240" s="342">
        <v>16</v>
      </c>
      <c r="C240" s="344" t="s">
        <v>442</v>
      </c>
      <c r="D240" s="1556" t="s">
        <v>1191</v>
      </c>
      <c r="E240" s="1570"/>
      <c r="F240" s="1571"/>
      <c r="G240" s="52" t="s">
        <v>468</v>
      </c>
      <c r="H240" s="934" t="s">
        <v>1029</v>
      </c>
    </row>
    <row r="241" spans="1:8" ht="24.75" customHeight="1">
      <c r="A241" s="999" t="s">
        <v>1014</v>
      </c>
      <c r="B241" s="434"/>
      <c r="C241" s="50" t="s">
        <v>469</v>
      </c>
      <c r="D241" s="50" t="s">
        <v>470</v>
      </c>
      <c r="E241" s="38" t="s">
        <v>471</v>
      </c>
      <c r="F241" s="38" t="s">
        <v>472</v>
      </c>
      <c r="G241" s="38" t="s">
        <v>473</v>
      </c>
      <c r="H241" s="51" t="s">
        <v>474</v>
      </c>
    </row>
    <row r="242" spans="1:8" ht="24.75" customHeight="1">
      <c r="A242" s="1532" t="s">
        <v>1200</v>
      </c>
      <c r="B242" s="1533"/>
      <c r="C242" s="1138" t="s">
        <v>1196</v>
      </c>
      <c r="D242" s="40" t="s">
        <v>1197</v>
      </c>
      <c r="E242" s="935">
        <v>1</v>
      </c>
      <c r="F242" s="330">
        <v>780</v>
      </c>
      <c r="G242" s="330">
        <f>E242*F242</f>
        <v>780</v>
      </c>
      <c r="H242" s="41"/>
    </row>
    <row r="243" spans="1:8" ht="24.75" customHeight="1">
      <c r="A243" s="1532" t="s">
        <v>1026</v>
      </c>
      <c r="B243" s="1533"/>
      <c r="C243" s="768" t="s">
        <v>1027</v>
      </c>
      <c r="D243" s="40" t="s">
        <v>576</v>
      </c>
      <c r="E243" s="330">
        <v>1</v>
      </c>
      <c r="F243" s="331" t="s">
        <v>1202</v>
      </c>
      <c r="G243" s="330">
        <v>80</v>
      </c>
      <c r="H243" s="41"/>
    </row>
    <row r="244" spans="1:8" ht="24.75" customHeight="1">
      <c r="A244" s="1532" t="s">
        <v>1199</v>
      </c>
      <c r="B244" s="1533"/>
      <c r="C244" s="1045"/>
      <c r="D244" s="40" t="s">
        <v>1201</v>
      </c>
      <c r="E244" s="989">
        <v>0.005</v>
      </c>
      <c r="F244" s="330">
        <f>G46</f>
        <v>2450</v>
      </c>
      <c r="G244" s="330">
        <f>E244*F244</f>
        <v>12.25</v>
      </c>
      <c r="H244" s="973" t="s">
        <v>1218</v>
      </c>
    </row>
    <row r="245" spans="1:8" ht="24.75" customHeight="1">
      <c r="A245" s="1532" t="s">
        <v>993</v>
      </c>
      <c r="B245" s="1533"/>
      <c r="C245" s="351"/>
      <c r="D245" s="40" t="s">
        <v>414</v>
      </c>
      <c r="E245" s="330">
        <v>1</v>
      </c>
      <c r="F245" s="330" t="s">
        <v>475</v>
      </c>
      <c r="G245" s="330">
        <v>27.75</v>
      </c>
      <c r="H245" s="46"/>
    </row>
    <row r="246" spans="1:8" ht="24.75" customHeight="1">
      <c r="A246" s="1532" t="s">
        <v>577</v>
      </c>
      <c r="B246" s="1533"/>
      <c r="C246" s="993"/>
      <c r="D246" s="990"/>
      <c r="E246" s="991"/>
      <c r="F246" s="991"/>
      <c r="G246" s="991">
        <f>SUM(G242:G245)</f>
        <v>900</v>
      </c>
      <c r="H246" s="992"/>
    </row>
    <row r="247" spans="1:8" ht="24.75" customHeight="1">
      <c r="A247" s="1532"/>
      <c r="B247" s="1533"/>
      <c r="C247" s="530"/>
      <c r="D247" s="40"/>
      <c r="E247" s="330"/>
      <c r="F247" s="330"/>
      <c r="G247" s="330"/>
      <c r="H247" s="994"/>
    </row>
    <row r="248" spans="1:8" ht="24.75" customHeight="1">
      <c r="A248" s="1532"/>
      <c r="B248" s="1533"/>
      <c r="C248" s="995"/>
      <c r="D248" s="40"/>
      <c r="E248" s="989"/>
      <c r="F248" s="331"/>
      <c r="G248" s="330"/>
      <c r="H248" s="41"/>
    </row>
    <row r="249" spans="1:8" ht="24.75" customHeight="1">
      <c r="A249" s="1532"/>
      <c r="B249" s="1533"/>
      <c r="C249" s="351"/>
      <c r="D249" s="40"/>
      <c r="E249" s="330"/>
      <c r="F249" s="330"/>
      <c r="G249" s="330"/>
      <c r="H249" s="46"/>
    </row>
    <row r="250" spans="1:8" ht="24.75" customHeight="1">
      <c r="A250" s="327"/>
      <c r="B250" s="333"/>
      <c r="C250" s="335"/>
      <c r="D250" s="50"/>
      <c r="E250" s="336"/>
      <c r="F250" s="336"/>
      <c r="G250" s="336"/>
      <c r="H250" s="987"/>
    </row>
    <row r="251" spans="1:8" ht="24.75" customHeight="1" thickBot="1">
      <c r="A251" s="1000"/>
      <c r="B251" s="988"/>
      <c r="C251" s="988"/>
      <c r="D251" s="988" t="s">
        <v>476</v>
      </c>
      <c r="E251" s="339" t="s">
        <v>1029</v>
      </c>
      <c r="F251" s="439" t="s">
        <v>438</v>
      </c>
      <c r="G251" s="354">
        <f>G246</f>
        <v>900</v>
      </c>
      <c r="H251" s="340"/>
    </row>
    <row r="252" spans="1:8" ht="24.75" customHeight="1">
      <c r="A252" s="227"/>
      <c r="B252" s="29"/>
      <c r="C252" s="227"/>
      <c r="D252" s="227"/>
      <c r="E252" s="227"/>
      <c r="F252" s="227"/>
      <c r="G252" s="227"/>
      <c r="H252" s="227"/>
    </row>
    <row r="253" spans="1:8" ht="24.75" customHeight="1">
      <c r="A253" s="29" t="s">
        <v>457</v>
      </c>
      <c r="B253" s="29"/>
      <c r="C253" s="29"/>
      <c r="D253" s="29"/>
      <c r="E253" s="29" t="s">
        <v>458</v>
      </c>
      <c r="F253" s="29"/>
      <c r="G253" s="29"/>
      <c r="H253" s="29"/>
    </row>
    <row r="254" spans="1:8" ht="24.75" customHeight="1">
      <c r="A254" s="238" t="str">
        <f>A222</f>
        <v>經濟部水利署第十河川局</v>
      </c>
      <c r="B254" s="430"/>
      <c r="C254" s="430"/>
      <c r="D254" s="430"/>
      <c r="E254" s="430"/>
      <c r="F254" s="430"/>
      <c r="G254" s="430"/>
      <c r="H254" s="430"/>
    </row>
    <row r="255" spans="1:8" ht="24.75" customHeight="1">
      <c r="A255" s="239" t="str">
        <f>A223</f>
        <v>單  價  分  析  表</v>
      </c>
      <c r="B255" s="430"/>
      <c r="C255" s="430"/>
      <c r="D255" s="430"/>
      <c r="E255" s="430"/>
      <c r="F255" s="430"/>
      <c r="G255" s="430"/>
      <c r="H255" s="430"/>
    </row>
    <row r="256" spans="1:8" ht="24.75" customHeight="1">
      <c r="A256" s="1510" t="str">
        <f>A224</f>
        <v>工程名稱:基隆河整體治理計劃（前期計劃）瑞芳區塊介壽橋下游左右岸護岸工程</v>
      </c>
      <c r="B256" s="1510"/>
      <c r="C256" s="1510"/>
      <c r="D256" s="1510"/>
      <c r="E256" s="1510"/>
      <c r="F256" s="1510"/>
      <c r="G256" s="1510"/>
      <c r="H256" s="253" t="s">
        <v>1065</v>
      </c>
    </row>
    <row r="257" spans="1:8" ht="24.75" customHeight="1" thickBot="1">
      <c r="A257" s="1545" t="str">
        <f>A225</f>
        <v>施工地點：台北縣瑞芳鎮</v>
      </c>
      <c r="B257" s="1545"/>
      <c r="C257" s="1545"/>
      <c r="D257" s="1545"/>
      <c r="E257" s="431"/>
      <c r="F257" s="431"/>
      <c r="G257" s="1546" t="s">
        <v>23</v>
      </c>
      <c r="H257" s="1546"/>
    </row>
    <row r="258" spans="1:8" ht="24.75" customHeight="1">
      <c r="A258" s="341" t="s">
        <v>436</v>
      </c>
      <c r="B258" s="342">
        <v>17</v>
      </c>
      <c r="C258" s="1046" t="s">
        <v>442</v>
      </c>
      <c r="D258" s="964" t="s">
        <v>1362</v>
      </c>
      <c r="E258" s="942"/>
      <c r="F258" s="943"/>
      <c r="G258" s="52" t="s">
        <v>468</v>
      </c>
      <c r="H258" s="965" t="s">
        <v>985</v>
      </c>
    </row>
    <row r="259" spans="1:8" ht="24.75" customHeight="1">
      <c r="A259" s="966" t="s">
        <v>1014</v>
      </c>
      <c r="B259" s="967"/>
      <c r="C259" s="968" t="s">
        <v>469</v>
      </c>
      <c r="D259" s="968" t="s">
        <v>470</v>
      </c>
      <c r="E259" s="969" t="s">
        <v>471</v>
      </c>
      <c r="F259" s="969" t="s">
        <v>472</v>
      </c>
      <c r="G259" s="969" t="s">
        <v>473</v>
      </c>
      <c r="H259" s="970" t="s">
        <v>474</v>
      </c>
    </row>
    <row r="260" spans="1:8" ht="24.75" customHeight="1">
      <c r="A260" s="1532" t="s">
        <v>1015</v>
      </c>
      <c r="B260" s="1533"/>
      <c r="C260" s="971" t="s">
        <v>151</v>
      </c>
      <c r="D260" s="38" t="s">
        <v>1016</v>
      </c>
      <c r="E260" s="972">
        <v>0.48</v>
      </c>
      <c r="F260" s="330">
        <f>G17</f>
        <v>1910</v>
      </c>
      <c r="G260" s="330">
        <f>E260*F260</f>
        <v>916.8</v>
      </c>
      <c r="H260" s="973" t="s">
        <v>1017</v>
      </c>
    </row>
    <row r="261" spans="1:8" ht="24.75" customHeight="1">
      <c r="A261" s="1532" t="s">
        <v>1018</v>
      </c>
      <c r="B261" s="1533"/>
      <c r="C261" s="974"/>
      <c r="D261" s="975" t="s">
        <v>1019</v>
      </c>
      <c r="E261" s="346">
        <v>2</v>
      </c>
      <c r="F261" s="330">
        <v>380</v>
      </c>
      <c r="G261" s="330">
        <f>E261*F261</f>
        <v>760</v>
      </c>
      <c r="H261" s="973" t="s">
        <v>1088</v>
      </c>
    </row>
    <row r="262" spans="1:8" ht="24.75" customHeight="1">
      <c r="A262" s="1532" t="str">
        <f>D101</f>
        <v>鐵模損耗</v>
      </c>
      <c r="B262" s="1533"/>
      <c r="C262" s="50" t="s">
        <v>1377</v>
      </c>
      <c r="D262" s="975" t="str">
        <f>H132</f>
        <v>m2</v>
      </c>
      <c r="E262" s="346">
        <v>1.83</v>
      </c>
      <c r="F262" s="330">
        <f>G114</f>
        <v>270</v>
      </c>
      <c r="G262" s="330">
        <f>E262*F262</f>
        <v>494.1</v>
      </c>
      <c r="H262" s="973" t="s">
        <v>1376</v>
      </c>
    </row>
    <row r="263" spans="1:8" ht="24.75" customHeight="1">
      <c r="A263" s="1532" t="s">
        <v>1020</v>
      </c>
      <c r="B263" s="1533"/>
      <c r="C263" s="974"/>
      <c r="D263" s="40" t="s">
        <v>1021</v>
      </c>
      <c r="E263" s="935">
        <v>45.53</v>
      </c>
      <c r="F263" s="330">
        <v>18</v>
      </c>
      <c r="G263" s="330">
        <f>E263*F263</f>
        <v>819.54</v>
      </c>
      <c r="H263" s="976" t="s">
        <v>1022</v>
      </c>
    </row>
    <row r="264" spans="1:8" ht="24.75" customHeight="1">
      <c r="A264" s="1532" t="s">
        <v>964</v>
      </c>
      <c r="B264" s="1533"/>
      <c r="C264" s="349"/>
      <c r="D264" s="332" t="s">
        <v>414</v>
      </c>
      <c r="E264" s="350">
        <v>1</v>
      </c>
      <c r="F264" s="330" t="s">
        <v>475</v>
      </c>
      <c r="G264" s="330">
        <v>9.56</v>
      </c>
      <c r="H264" s="977"/>
    </row>
    <row r="265" spans="1:8" ht="24.75" customHeight="1">
      <c r="A265" s="1532" t="s">
        <v>577</v>
      </c>
      <c r="B265" s="1533"/>
      <c r="C265" s="349"/>
      <c r="D265" s="332"/>
      <c r="E265" s="350"/>
      <c r="F265" s="330"/>
      <c r="G265" s="330">
        <f>SUM(G260:G264)</f>
        <v>3000</v>
      </c>
      <c r="H265" s="46"/>
    </row>
    <row r="266" spans="1:8" ht="24.75" customHeight="1">
      <c r="A266" s="978"/>
      <c r="B266" s="979"/>
      <c r="C266" s="980"/>
      <c r="D266" s="981"/>
      <c r="E266" s="982"/>
      <c r="F266" s="983"/>
      <c r="G266" s="983"/>
      <c r="H266" s="46"/>
    </row>
    <row r="267" spans="1:8" ht="24.75" customHeight="1">
      <c r="A267" s="984"/>
      <c r="B267" s="967"/>
      <c r="C267" s="985"/>
      <c r="D267" s="986"/>
      <c r="E267" s="983"/>
      <c r="F267" s="983"/>
      <c r="G267" s="983"/>
      <c r="H267" s="46"/>
    </row>
    <row r="268" spans="1:8" ht="24.75" customHeight="1">
      <c r="A268" s="327"/>
      <c r="B268" s="333"/>
      <c r="C268" s="335"/>
      <c r="D268" s="50"/>
      <c r="E268" s="336"/>
      <c r="F268" s="336"/>
      <c r="G268" s="336"/>
      <c r="H268" s="987"/>
    </row>
    <row r="269" spans="1:8" ht="24.75" customHeight="1" thickBot="1">
      <c r="A269" s="337"/>
      <c r="B269" s="338"/>
      <c r="C269" s="338"/>
      <c r="D269" s="988" t="s">
        <v>1023</v>
      </c>
      <c r="E269" s="339" t="s">
        <v>1024</v>
      </c>
      <c r="F269" s="440" t="s">
        <v>438</v>
      </c>
      <c r="G269" s="354">
        <f>G265</f>
        <v>3000</v>
      </c>
      <c r="H269" s="340"/>
    </row>
    <row r="270" spans="1:8" ht="24.75" customHeight="1">
      <c r="A270" s="341" t="s">
        <v>436</v>
      </c>
      <c r="B270" s="342">
        <v>18</v>
      </c>
      <c r="C270" s="344" t="s">
        <v>442</v>
      </c>
      <c r="D270" s="1569" t="s">
        <v>1192</v>
      </c>
      <c r="E270" s="1570"/>
      <c r="F270" s="1571"/>
      <c r="G270" s="52" t="s">
        <v>468</v>
      </c>
      <c r="H270" s="965" t="s">
        <v>1025</v>
      </c>
    </row>
    <row r="271" spans="1:8" ht="24.75" customHeight="1">
      <c r="A271" s="220" t="s">
        <v>559</v>
      </c>
      <c r="B271" s="221"/>
      <c r="C271" s="50" t="s">
        <v>469</v>
      </c>
      <c r="D271" s="50" t="s">
        <v>470</v>
      </c>
      <c r="E271" s="38" t="s">
        <v>471</v>
      </c>
      <c r="F271" s="38" t="s">
        <v>472</v>
      </c>
      <c r="G271" s="38" t="s">
        <v>473</v>
      </c>
      <c r="H271" s="51" t="s">
        <v>474</v>
      </c>
    </row>
    <row r="272" spans="1:8" ht="24.75" customHeight="1">
      <c r="A272" s="1614" t="s">
        <v>1195</v>
      </c>
      <c r="B272" s="1533"/>
      <c r="C272" s="1138" t="s">
        <v>1210</v>
      </c>
      <c r="D272" s="40" t="s">
        <v>1197</v>
      </c>
      <c r="E272" s="989">
        <v>1</v>
      </c>
      <c r="F272" s="330">
        <v>2100</v>
      </c>
      <c r="G272" s="330">
        <f>E272*F272</f>
        <v>2100</v>
      </c>
      <c r="H272" s="41"/>
    </row>
    <row r="273" spans="1:8" ht="24.75" customHeight="1">
      <c r="A273" s="1532" t="s">
        <v>1198</v>
      </c>
      <c r="B273" s="1533"/>
      <c r="C273" s="768" t="s">
        <v>1027</v>
      </c>
      <c r="D273" s="40" t="s">
        <v>576</v>
      </c>
      <c r="E273" s="330">
        <v>1</v>
      </c>
      <c r="F273" s="331">
        <v>120</v>
      </c>
      <c r="G273" s="330">
        <f>E273*F273</f>
        <v>120</v>
      </c>
      <c r="H273" s="41"/>
    </row>
    <row r="274" spans="1:8" ht="24.75" customHeight="1">
      <c r="A274" s="1532" t="s">
        <v>1199</v>
      </c>
      <c r="B274" s="1533"/>
      <c r="C274" s="1045"/>
      <c r="D274" s="40" t="s">
        <v>1201</v>
      </c>
      <c r="E274" s="330">
        <v>0.05</v>
      </c>
      <c r="F274" s="330">
        <f>G46</f>
        <v>2450</v>
      </c>
      <c r="G274" s="330">
        <f>E274*F274</f>
        <v>122.5</v>
      </c>
      <c r="H274" s="973" t="s">
        <v>1218</v>
      </c>
    </row>
    <row r="275" spans="1:8" ht="24.75" customHeight="1">
      <c r="A275" s="1532" t="s">
        <v>993</v>
      </c>
      <c r="B275" s="1533"/>
      <c r="C275" s="351"/>
      <c r="D275" s="40" t="s">
        <v>414</v>
      </c>
      <c r="E275" s="330">
        <v>1</v>
      </c>
      <c r="F275" s="330" t="s">
        <v>475</v>
      </c>
      <c r="G275" s="330">
        <v>27.5</v>
      </c>
      <c r="H275" s="46"/>
    </row>
    <row r="276" spans="1:8" ht="24.75" customHeight="1">
      <c r="A276" s="1532" t="s">
        <v>577</v>
      </c>
      <c r="B276" s="1533"/>
      <c r="C276" s="993"/>
      <c r="D276" s="990"/>
      <c r="E276" s="991"/>
      <c r="F276" s="991"/>
      <c r="G276" s="991">
        <f>SUM(G272:G275)</f>
        <v>2370</v>
      </c>
      <c r="H276" s="992"/>
    </row>
    <row r="277" spans="1:8" ht="24.75" customHeight="1">
      <c r="A277" s="1532"/>
      <c r="B277" s="1533"/>
      <c r="C277" s="530"/>
      <c r="D277" s="40"/>
      <c r="E277" s="330"/>
      <c r="F277" s="330"/>
      <c r="G277" s="330"/>
      <c r="H277" s="994"/>
    </row>
    <row r="278" spans="1:8" ht="24.75" customHeight="1">
      <c r="A278" s="1532"/>
      <c r="B278" s="1533"/>
      <c r="C278" s="995"/>
      <c r="D278" s="40"/>
      <c r="E278" s="989"/>
      <c r="F278" s="331"/>
      <c r="G278" s="330"/>
      <c r="H278" s="41"/>
    </row>
    <row r="279" spans="1:8" ht="24.75" customHeight="1">
      <c r="A279" s="1532"/>
      <c r="B279" s="1533"/>
      <c r="C279" s="351"/>
      <c r="D279" s="40"/>
      <c r="E279" s="330"/>
      <c r="F279" s="330"/>
      <c r="G279" s="330"/>
      <c r="H279" s="46"/>
    </row>
    <row r="280" spans="1:8" ht="24.75" customHeight="1">
      <c r="A280" s="1532"/>
      <c r="B280" s="1533"/>
      <c r="C280" s="276"/>
      <c r="D280" s="40"/>
      <c r="E280" s="48"/>
      <c r="F280" s="48"/>
      <c r="G280" s="48"/>
      <c r="H280" s="996"/>
    </row>
    <row r="281" spans="1:8" ht="24.75" customHeight="1">
      <c r="A281" s="328"/>
      <c r="B281" s="333"/>
      <c r="C281" s="997"/>
      <c r="D281" s="40"/>
      <c r="E281" s="989"/>
      <c r="F281" s="331"/>
      <c r="G281" s="330"/>
      <c r="H281" s="207"/>
    </row>
    <row r="282" spans="1:8" ht="24.75" customHeight="1">
      <c r="A282" s="328"/>
      <c r="B282" s="333"/>
      <c r="C282" s="351"/>
      <c r="D282" s="40"/>
      <c r="E282" s="330"/>
      <c r="F282" s="330"/>
      <c r="G282" s="330"/>
      <c r="H282" s="46"/>
    </row>
    <row r="283" spans="1:8" ht="24.75" customHeight="1" thickBot="1">
      <c r="A283" s="337"/>
      <c r="B283" s="338"/>
      <c r="C283" s="338"/>
      <c r="D283" s="998" t="s">
        <v>589</v>
      </c>
      <c r="E283" s="339" t="s">
        <v>1028</v>
      </c>
      <c r="F283" s="440" t="s">
        <v>438</v>
      </c>
      <c r="G283" s="1187">
        <f>G276</f>
        <v>2370</v>
      </c>
      <c r="H283" s="340"/>
    </row>
    <row r="284" spans="1:8" ht="24.75" customHeight="1">
      <c r="A284" s="227"/>
      <c r="B284" s="29"/>
      <c r="C284" s="227"/>
      <c r="D284" s="227"/>
      <c r="E284" s="227"/>
      <c r="F284" s="227"/>
      <c r="G284" s="227"/>
      <c r="H284" s="227"/>
    </row>
    <row r="285" spans="1:8" ht="24.75" customHeight="1">
      <c r="A285" s="29" t="s">
        <v>457</v>
      </c>
      <c r="B285" s="29"/>
      <c r="C285" s="29"/>
      <c r="D285" s="29"/>
      <c r="E285" s="29" t="s">
        <v>458</v>
      </c>
      <c r="F285" s="29"/>
      <c r="G285" s="29"/>
      <c r="H285" s="29"/>
    </row>
    <row r="286" spans="1:8" ht="24.75" customHeight="1">
      <c r="A286" s="238" t="str">
        <f>A254</f>
        <v>經濟部水利署第十河川局</v>
      </c>
      <c r="B286" s="430"/>
      <c r="C286" s="430"/>
      <c r="D286" s="430"/>
      <c r="E286" s="430"/>
      <c r="F286" s="430"/>
      <c r="G286" s="430"/>
      <c r="H286" s="430"/>
    </row>
    <row r="287" spans="1:8" ht="24.75" customHeight="1">
      <c r="A287" s="239" t="str">
        <f>A255</f>
        <v>單  價  分  析  表</v>
      </c>
      <c r="B287" s="430"/>
      <c r="C287" s="430"/>
      <c r="D287" s="430"/>
      <c r="E287" s="430"/>
      <c r="F287" s="430"/>
      <c r="G287" s="430"/>
      <c r="H287" s="430"/>
    </row>
    <row r="288" spans="1:8" ht="24.75" customHeight="1">
      <c r="A288" s="1510" t="str">
        <f>A256</f>
        <v>工程名稱:基隆河整體治理計劃（前期計劃）瑞芳區塊介壽橋下游左右岸護岸工程</v>
      </c>
      <c r="B288" s="1510"/>
      <c r="C288" s="1510"/>
      <c r="D288" s="1510"/>
      <c r="E288" s="1510"/>
      <c r="F288" s="1510"/>
      <c r="G288" s="1510"/>
      <c r="H288" s="253" t="s">
        <v>1065</v>
      </c>
    </row>
    <row r="289" spans="1:8" ht="24.75" customHeight="1" thickBot="1">
      <c r="A289" s="1545" t="str">
        <f>A257</f>
        <v>施工地點：台北縣瑞芳鎮</v>
      </c>
      <c r="B289" s="1545"/>
      <c r="C289" s="1545"/>
      <c r="D289" s="1545"/>
      <c r="E289" s="431"/>
      <c r="F289" s="431"/>
      <c r="G289" s="1546" t="s">
        <v>22</v>
      </c>
      <c r="H289" s="1546"/>
    </row>
    <row r="290" spans="1:8" ht="24.75" customHeight="1">
      <c r="A290" s="341" t="s">
        <v>436</v>
      </c>
      <c r="B290" s="342">
        <v>19</v>
      </c>
      <c r="C290" s="344" t="s">
        <v>442</v>
      </c>
      <c r="D290" s="1556" t="s">
        <v>1208</v>
      </c>
      <c r="E290" s="1570"/>
      <c r="F290" s="1571"/>
      <c r="G290" s="52" t="s">
        <v>468</v>
      </c>
      <c r="H290" s="934" t="s">
        <v>1029</v>
      </c>
    </row>
    <row r="291" spans="1:8" ht="24.75" customHeight="1">
      <c r="A291" s="999" t="s">
        <v>1014</v>
      </c>
      <c r="B291" s="434"/>
      <c r="C291" s="50" t="s">
        <v>469</v>
      </c>
      <c r="D291" s="50" t="s">
        <v>470</v>
      </c>
      <c r="E291" s="38" t="s">
        <v>471</v>
      </c>
      <c r="F291" s="38" t="s">
        <v>472</v>
      </c>
      <c r="G291" s="38" t="s">
        <v>473</v>
      </c>
      <c r="H291" s="51" t="s">
        <v>474</v>
      </c>
    </row>
    <row r="292" spans="1:8" ht="24.75" customHeight="1">
      <c r="A292" s="1532" t="s">
        <v>1200</v>
      </c>
      <c r="B292" s="1533"/>
      <c r="C292" s="1138" t="s">
        <v>1203</v>
      </c>
      <c r="D292" s="40" t="s">
        <v>1197</v>
      </c>
      <c r="E292" s="989">
        <v>1</v>
      </c>
      <c r="F292" s="330">
        <v>400</v>
      </c>
      <c r="G292" s="330">
        <f>E292*F292</f>
        <v>400</v>
      </c>
      <c r="H292" s="41"/>
    </row>
    <row r="293" spans="1:8" ht="24.75" customHeight="1">
      <c r="A293" s="1532" t="s">
        <v>1026</v>
      </c>
      <c r="B293" s="1533"/>
      <c r="C293" s="768" t="s">
        <v>1027</v>
      </c>
      <c r="D293" s="40" t="s">
        <v>576</v>
      </c>
      <c r="E293" s="330">
        <v>1</v>
      </c>
      <c r="F293" s="331" t="s">
        <v>1202</v>
      </c>
      <c r="G293" s="330">
        <v>80</v>
      </c>
      <c r="H293" s="41"/>
    </row>
    <row r="294" spans="1:8" ht="24.75" customHeight="1">
      <c r="A294" s="1532" t="s">
        <v>1199</v>
      </c>
      <c r="B294" s="1533"/>
      <c r="C294" s="1045"/>
      <c r="D294" s="40" t="s">
        <v>1201</v>
      </c>
      <c r="E294" s="989">
        <v>0.005</v>
      </c>
      <c r="F294" s="330">
        <f>G46</f>
        <v>2450</v>
      </c>
      <c r="G294" s="330">
        <f>E294*F294</f>
        <v>12.25</v>
      </c>
      <c r="H294" s="973" t="s">
        <v>1218</v>
      </c>
    </row>
    <row r="295" spans="1:8" ht="24.75" customHeight="1">
      <c r="A295" s="1532" t="s">
        <v>993</v>
      </c>
      <c r="B295" s="1533"/>
      <c r="C295" s="351"/>
      <c r="D295" s="40" t="s">
        <v>414</v>
      </c>
      <c r="E295" s="330">
        <v>1</v>
      </c>
      <c r="F295" s="330" t="s">
        <v>475</v>
      </c>
      <c r="G295" s="330">
        <v>27.75</v>
      </c>
      <c r="H295" s="46"/>
    </row>
    <row r="296" spans="1:8" ht="24.75" customHeight="1">
      <c r="A296" s="1532" t="s">
        <v>577</v>
      </c>
      <c r="B296" s="1533"/>
      <c r="C296" s="993"/>
      <c r="D296" s="990"/>
      <c r="E296" s="991"/>
      <c r="F296" s="991"/>
      <c r="G296" s="991">
        <f>SUM(G292:G295)</f>
        <v>520</v>
      </c>
      <c r="H296" s="41"/>
    </row>
    <row r="297" spans="1:8" ht="24.75" customHeight="1">
      <c r="A297" s="1532"/>
      <c r="B297" s="1533"/>
      <c r="C297" s="530"/>
      <c r="D297" s="40"/>
      <c r="E297" s="330"/>
      <c r="F297" s="330"/>
      <c r="G297" s="330"/>
      <c r="H297" s="46"/>
    </row>
    <row r="298" spans="1:8" ht="24.75" customHeight="1">
      <c r="A298" s="416"/>
      <c r="B298" s="519"/>
      <c r="C298" s="351"/>
      <c r="D298" s="40"/>
      <c r="E298" s="330"/>
      <c r="F298" s="330"/>
      <c r="G298" s="330"/>
      <c r="H298" s="46"/>
    </row>
    <row r="299" spans="1:8" ht="24.75" customHeight="1">
      <c r="A299" s="327"/>
      <c r="B299" s="333"/>
      <c r="C299" s="335"/>
      <c r="D299" s="50"/>
      <c r="E299" s="336"/>
      <c r="F299" s="336"/>
      <c r="G299" s="336"/>
      <c r="H299" s="987"/>
    </row>
    <row r="300" spans="1:8" ht="24.75" customHeight="1" thickBot="1">
      <c r="A300" s="1000"/>
      <c r="B300" s="988"/>
      <c r="C300" s="988"/>
      <c r="D300" s="988" t="s">
        <v>476</v>
      </c>
      <c r="E300" s="339" t="s">
        <v>1029</v>
      </c>
      <c r="F300" s="439" t="s">
        <v>438</v>
      </c>
      <c r="G300" s="354">
        <f>G296</f>
        <v>520</v>
      </c>
      <c r="H300" s="340"/>
    </row>
    <row r="301" spans="1:8" ht="24.75" customHeight="1">
      <c r="A301" s="341" t="s">
        <v>436</v>
      </c>
      <c r="B301" s="342">
        <v>20</v>
      </c>
      <c r="C301" s="344" t="s">
        <v>442</v>
      </c>
      <c r="D301" s="1556" t="s">
        <v>1227</v>
      </c>
      <c r="E301" s="1570"/>
      <c r="F301" s="1571"/>
      <c r="G301" s="52" t="s">
        <v>468</v>
      </c>
      <c r="H301" s="934" t="s">
        <v>1201</v>
      </c>
    </row>
    <row r="302" spans="1:8" ht="24.75" customHeight="1">
      <c r="A302" s="999" t="s">
        <v>1014</v>
      </c>
      <c r="B302" s="434"/>
      <c r="C302" s="50" t="s">
        <v>469</v>
      </c>
      <c r="D302" s="50" t="s">
        <v>470</v>
      </c>
      <c r="E302" s="38" t="s">
        <v>471</v>
      </c>
      <c r="F302" s="38" t="s">
        <v>472</v>
      </c>
      <c r="G302" s="38" t="s">
        <v>473</v>
      </c>
      <c r="H302" s="51" t="s">
        <v>474</v>
      </c>
    </row>
    <row r="303" spans="1:8" ht="24.75" customHeight="1">
      <c r="A303" s="1532" t="s">
        <v>1219</v>
      </c>
      <c r="B303" s="1533"/>
      <c r="C303" s="1138"/>
      <c r="D303" s="40" t="s">
        <v>1201</v>
      </c>
      <c r="E303" s="935">
        <v>1</v>
      </c>
      <c r="F303" s="330">
        <v>4500</v>
      </c>
      <c r="G303" s="330">
        <f>E303*F303</f>
        <v>4500</v>
      </c>
      <c r="H303" s="41"/>
    </row>
    <row r="304" spans="1:8" ht="24.75" customHeight="1">
      <c r="A304" s="1532" t="s">
        <v>1220</v>
      </c>
      <c r="B304" s="1533"/>
      <c r="C304" s="768"/>
      <c r="D304" s="40" t="s">
        <v>1228</v>
      </c>
      <c r="E304" s="330">
        <v>1</v>
      </c>
      <c r="F304" s="331">
        <v>190</v>
      </c>
      <c r="G304" s="330">
        <f>E304*F304</f>
        <v>190</v>
      </c>
      <c r="H304" s="41"/>
    </row>
    <row r="305" spans="1:8" ht="24.75" customHeight="1">
      <c r="A305" s="1532" t="s">
        <v>1221</v>
      </c>
      <c r="B305" s="1533"/>
      <c r="C305" s="1045"/>
      <c r="D305" s="40" t="s">
        <v>1229</v>
      </c>
      <c r="E305" s="935">
        <v>0.2</v>
      </c>
      <c r="F305" s="330">
        <f>G411</f>
        <v>1050</v>
      </c>
      <c r="G305" s="330">
        <f>E305*F305</f>
        <v>210</v>
      </c>
      <c r="H305" s="976" t="s">
        <v>1235</v>
      </c>
    </row>
    <row r="306" spans="1:8" ht="24.75" customHeight="1">
      <c r="A306" s="1532" t="s">
        <v>1222</v>
      </c>
      <c r="B306" s="1533"/>
      <c r="C306" s="351"/>
      <c r="D306" s="40" t="s">
        <v>576</v>
      </c>
      <c r="E306" s="330">
        <v>1</v>
      </c>
      <c r="F306" s="330" t="s">
        <v>1231</v>
      </c>
      <c r="G306" s="330">
        <v>200</v>
      </c>
      <c r="H306" s="46"/>
    </row>
    <row r="307" spans="1:8" ht="24.75" customHeight="1">
      <c r="A307" s="1532" t="s">
        <v>1223</v>
      </c>
      <c r="B307" s="1533"/>
      <c r="C307" s="993"/>
      <c r="D307" s="40" t="s">
        <v>576</v>
      </c>
      <c r="E307" s="991">
        <v>1</v>
      </c>
      <c r="F307" s="991" t="s">
        <v>1231</v>
      </c>
      <c r="G307" s="991">
        <v>600</v>
      </c>
      <c r="H307" s="41"/>
    </row>
    <row r="308" spans="1:8" ht="24.75" customHeight="1">
      <c r="A308" s="1532" t="s">
        <v>1224</v>
      </c>
      <c r="B308" s="1533"/>
      <c r="C308" s="530"/>
      <c r="D308" s="40" t="s">
        <v>576</v>
      </c>
      <c r="E308" s="330">
        <v>1</v>
      </c>
      <c r="F308" s="330" t="s">
        <v>1231</v>
      </c>
      <c r="G308" s="330">
        <v>192</v>
      </c>
      <c r="H308" s="46"/>
    </row>
    <row r="309" spans="1:8" ht="24.75" customHeight="1">
      <c r="A309" s="1532" t="s">
        <v>1225</v>
      </c>
      <c r="B309" s="1533"/>
      <c r="C309" s="351"/>
      <c r="D309" s="40" t="s">
        <v>576</v>
      </c>
      <c r="E309" s="330">
        <v>1</v>
      </c>
      <c r="F309" s="330" t="s">
        <v>1231</v>
      </c>
      <c r="G309" s="330">
        <v>400</v>
      </c>
      <c r="H309" s="46"/>
    </row>
    <row r="310" spans="1:8" ht="24.75" customHeight="1">
      <c r="A310" s="1532" t="s">
        <v>1226</v>
      </c>
      <c r="B310" s="1533"/>
      <c r="C310" s="351"/>
      <c r="D310" s="40" t="s">
        <v>576</v>
      </c>
      <c r="E310" s="330">
        <v>1</v>
      </c>
      <c r="F310" s="330" t="s">
        <v>1230</v>
      </c>
      <c r="G310" s="330">
        <v>58</v>
      </c>
      <c r="H310" s="46"/>
    </row>
    <row r="311" spans="1:8" ht="24.75" customHeight="1">
      <c r="A311" s="1532" t="s">
        <v>605</v>
      </c>
      <c r="B311" s="1533"/>
      <c r="C311" s="351"/>
      <c r="D311" s="40"/>
      <c r="E311" s="330"/>
      <c r="F311" s="330"/>
      <c r="G311" s="330">
        <f>SUM(G303:G310)</f>
        <v>6350</v>
      </c>
      <c r="H311" s="46"/>
    </row>
    <row r="312" spans="1:8" ht="24.75" customHeight="1">
      <c r="A312" s="416"/>
      <c r="B312" s="519"/>
      <c r="C312" s="351"/>
      <c r="D312" s="40"/>
      <c r="E312" s="330"/>
      <c r="F312" s="330"/>
      <c r="G312" s="330"/>
      <c r="H312" s="46"/>
    </row>
    <row r="313" spans="1:8" ht="24.75" customHeight="1">
      <c r="A313" s="416"/>
      <c r="B313" s="519"/>
      <c r="C313" s="351"/>
      <c r="D313" s="40"/>
      <c r="E313" s="330"/>
      <c r="F313" s="330"/>
      <c r="G313" s="330"/>
      <c r="H313" s="46"/>
    </row>
    <row r="314" spans="1:8" ht="24.75" customHeight="1">
      <c r="A314" s="416"/>
      <c r="B314" s="519"/>
      <c r="C314" s="351"/>
      <c r="D314" s="40"/>
      <c r="E314" s="330"/>
      <c r="F314" s="330"/>
      <c r="G314" s="330"/>
      <c r="H314" s="46"/>
    </row>
    <row r="315" spans="1:8" ht="24.75" customHeight="1" thickBot="1">
      <c r="A315" s="1000"/>
      <c r="B315" s="988"/>
      <c r="C315" s="988"/>
      <c r="D315" s="988" t="s">
        <v>476</v>
      </c>
      <c r="E315" s="339" t="s">
        <v>1029</v>
      </c>
      <c r="F315" s="439" t="s">
        <v>438</v>
      </c>
      <c r="G315" s="354">
        <f>G311</f>
        <v>6350</v>
      </c>
      <c r="H315" s="340"/>
    </row>
    <row r="316" spans="1:8" ht="24.75" customHeight="1">
      <c r="A316" s="1142"/>
      <c r="B316" s="1142"/>
      <c r="C316" s="1142"/>
      <c r="D316" s="1142"/>
      <c r="E316" s="1140"/>
      <c r="F316" s="1141"/>
      <c r="G316" s="1143"/>
      <c r="H316" s="1143"/>
    </row>
    <row r="317" spans="1:8" ht="24.75" customHeight="1">
      <c r="A317" s="29" t="s">
        <v>457</v>
      </c>
      <c r="B317" s="29"/>
      <c r="C317" s="29"/>
      <c r="D317" s="29"/>
      <c r="E317" s="29" t="s">
        <v>458</v>
      </c>
      <c r="F317" s="29"/>
      <c r="G317" s="29"/>
      <c r="H317" s="29"/>
    </row>
    <row r="318" spans="1:8" ht="24.75" customHeight="1">
      <c r="A318" s="238" t="str">
        <f>A222</f>
        <v>經濟部水利署第十河川局</v>
      </c>
      <c r="B318" s="430"/>
      <c r="C318" s="430"/>
      <c r="D318" s="430"/>
      <c r="E318" s="430"/>
      <c r="F318" s="430"/>
      <c r="G318" s="430"/>
      <c r="H318" s="430"/>
    </row>
    <row r="319" spans="1:8" ht="24.75" customHeight="1">
      <c r="A319" s="239" t="str">
        <f>A223</f>
        <v>單  價  分  析  表</v>
      </c>
      <c r="B319" s="430"/>
      <c r="C319" s="430"/>
      <c r="D319" s="430"/>
      <c r="E319" s="430"/>
      <c r="F319" s="430"/>
      <c r="G319" s="430"/>
      <c r="H319" s="430"/>
    </row>
    <row r="320" spans="1:8" ht="24.75" customHeight="1">
      <c r="A320" s="1510" t="str">
        <f>A224</f>
        <v>工程名稱:基隆河整體治理計劃（前期計劃）瑞芳區塊介壽橋下游左右岸護岸工程</v>
      </c>
      <c r="B320" s="1510"/>
      <c r="C320" s="1510"/>
      <c r="D320" s="1510"/>
      <c r="E320" s="1510"/>
      <c r="F320" s="1510"/>
      <c r="G320" s="1510"/>
      <c r="H320" s="253" t="s">
        <v>1065</v>
      </c>
    </row>
    <row r="321" spans="1:8" ht="24.75" customHeight="1" thickBot="1">
      <c r="A321" s="1545" t="str">
        <f>A225</f>
        <v>施工地點：台北縣瑞芳鎮</v>
      </c>
      <c r="B321" s="1545"/>
      <c r="C321" s="1545"/>
      <c r="D321" s="1545"/>
      <c r="E321" s="431"/>
      <c r="F321" s="431"/>
      <c r="G321" s="1546" t="s">
        <v>21</v>
      </c>
      <c r="H321" s="1546"/>
    </row>
    <row r="322" spans="1:8" ht="24.75" customHeight="1">
      <c r="A322" s="394" t="s">
        <v>436</v>
      </c>
      <c r="B322" s="395">
        <v>21</v>
      </c>
      <c r="C322" s="1137" t="s">
        <v>442</v>
      </c>
      <c r="D322" s="396" t="s">
        <v>646</v>
      </c>
      <c r="E322" s="396"/>
      <c r="F322" s="397"/>
      <c r="G322" s="398" t="s">
        <v>468</v>
      </c>
      <c r="H322" s="424" t="s">
        <v>1114</v>
      </c>
    </row>
    <row r="323" spans="1:8" ht="24.75" customHeight="1">
      <c r="A323" s="1532" t="s">
        <v>632</v>
      </c>
      <c r="B323" s="1533"/>
      <c r="C323" s="50" t="s">
        <v>469</v>
      </c>
      <c r="D323" s="50" t="s">
        <v>470</v>
      </c>
      <c r="E323" s="38" t="s">
        <v>471</v>
      </c>
      <c r="F323" s="408" t="s">
        <v>472</v>
      </c>
      <c r="G323" s="38" t="s">
        <v>473</v>
      </c>
      <c r="H323" s="51" t="s">
        <v>474</v>
      </c>
    </row>
    <row r="324" spans="1:8" ht="24.75" customHeight="1">
      <c r="A324" s="1532" t="s">
        <v>633</v>
      </c>
      <c r="B324" s="1533"/>
      <c r="C324" s="329"/>
      <c r="D324" s="38" t="s">
        <v>634</v>
      </c>
      <c r="E324" s="418">
        <v>0.0065</v>
      </c>
      <c r="F324" s="330">
        <v>900</v>
      </c>
      <c r="G324" s="330">
        <f>E324*F324</f>
        <v>5.85</v>
      </c>
      <c r="H324" s="207" t="s">
        <v>635</v>
      </c>
    </row>
    <row r="325" spans="1:8" ht="24.75" customHeight="1">
      <c r="A325" s="1532" t="s">
        <v>636</v>
      </c>
      <c r="B325" s="1533"/>
      <c r="C325" s="435"/>
      <c r="D325" s="38" t="s">
        <v>634</v>
      </c>
      <c r="E325" s="418">
        <v>0.0108</v>
      </c>
      <c r="F325" s="331">
        <v>400</v>
      </c>
      <c r="G325" s="330">
        <f>E325*F325</f>
        <v>4.32</v>
      </c>
      <c r="H325" s="46"/>
    </row>
    <row r="326" spans="1:8" ht="24.75" customHeight="1">
      <c r="A326" s="1532" t="s">
        <v>637</v>
      </c>
      <c r="B326" s="1533"/>
      <c r="C326" s="276" t="s">
        <v>638</v>
      </c>
      <c r="D326" s="40" t="s">
        <v>634</v>
      </c>
      <c r="E326" s="418">
        <v>0.008</v>
      </c>
      <c r="F326" s="330">
        <v>480</v>
      </c>
      <c r="G326" s="330">
        <f>E326*F326</f>
        <v>3.84</v>
      </c>
      <c r="H326" s="46"/>
    </row>
    <row r="327" spans="1:8" ht="24.75" customHeight="1">
      <c r="A327" s="1532" t="s">
        <v>606</v>
      </c>
      <c r="B327" s="1533"/>
      <c r="C327" s="433"/>
      <c r="D327" s="40" t="s">
        <v>621</v>
      </c>
      <c r="E327" s="330">
        <v>1</v>
      </c>
      <c r="F327" s="330" t="s">
        <v>475</v>
      </c>
      <c r="G327" s="330">
        <v>0.99</v>
      </c>
      <c r="H327" s="46"/>
    </row>
    <row r="328" spans="1:8" ht="24.75" customHeight="1">
      <c r="A328" s="1532" t="s">
        <v>605</v>
      </c>
      <c r="B328" s="1533"/>
      <c r="C328" s="347"/>
      <c r="D328" s="40"/>
      <c r="E328" s="330"/>
      <c r="F328" s="330"/>
      <c r="G328" s="330">
        <f>SUM(G324:G327)</f>
        <v>15</v>
      </c>
      <c r="H328" s="46"/>
    </row>
    <row r="329" spans="1:8" ht="24.75" customHeight="1">
      <c r="A329" s="416"/>
      <c r="B329" s="519"/>
      <c r="C329" s="347"/>
      <c r="D329" s="40"/>
      <c r="E329" s="330"/>
      <c r="F329" s="330"/>
      <c r="G329" s="330"/>
      <c r="H329" s="46"/>
    </row>
    <row r="330" spans="1:8" ht="24.75" customHeight="1">
      <c r="A330" s="416"/>
      <c r="B330" s="519"/>
      <c r="C330" s="347"/>
      <c r="D330" s="40"/>
      <c r="E330" s="330"/>
      <c r="F330" s="330"/>
      <c r="G330" s="330"/>
      <c r="H330" s="46"/>
    </row>
    <row r="331" spans="1:8" s="29" customFormat="1" ht="24.75" customHeight="1">
      <c r="A331" s="328"/>
      <c r="B331" s="333"/>
      <c r="C331" s="351"/>
      <c r="D331" s="40"/>
      <c r="E331" s="330"/>
      <c r="F331" s="330"/>
      <c r="G331" s="330"/>
      <c r="H331" s="46"/>
    </row>
    <row r="332" spans="1:8" s="29" customFormat="1" ht="24.75" customHeight="1">
      <c r="A332" s="328"/>
      <c r="B332" s="333"/>
      <c r="C332" s="351"/>
      <c r="D332" s="40"/>
      <c r="E332" s="330"/>
      <c r="F332" s="330"/>
      <c r="G332" s="330"/>
      <c r="H332" s="47"/>
    </row>
    <row r="333" spans="1:8" s="29" customFormat="1" ht="24.75" customHeight="1">
      <c r="A333" s="328"/>
      <c r="B333" s="333"/>
      <c r="C333" s="351"/>
      <c r="D333" s="40"/>
      <c r="E333" s="330"/>
      <c r="F333" s="330"/>
      <c r="G333" s="330"/>
      <c r="H333" s="47"/>
    </row>
    <row r="334" spans="1:8" s="29" customFormat="1" ht="24.75" customHeight="1">
      <c r="A334" s="328"/>
      <c r="B334" s="333"/>
      <c r="C334" s="335"/>
      <c r="D334" s="40"/>
      <c r="E334" s="48"/>
      <c r="F334" s="48"/>
      <c r="G334" s="233"/>
      <c r="H334" s="334"/>
    </row>
    <row r="335" spans="1:8" s="29" customFormat="1" ht="24.75" customHeight="1" thickBot="1">
      <c r="A335" s="337"/>
      <c r="B335" s="338"/>
      <c r="C335" s="338"/>
      <c r="D335" s="353" t="s">
        <v>639</v>
      </c>
      <c r="E335" s="436" t="s">
        <v>784</v>
      </c>
      <c r="F335" s="440" t="s">
        <v>640</v>
      </c>
      <c r="G335" s="356">
        <f>G328</f>
        <v>15</v>
      </c>
      <c r="H335" s="399"/>
    </row>
    <row r="336" spans="1:8" s="29" customFormat="1" ht="24.75" customHeight="1">
      <c r="A336" s="592" t="s">
        <v>436</v>
      </c>
      <c r="B336" s="540">
        <v>22</v>
      </c>
      <c r="C336" s="579" t="s">
        <v>442</v>
      </c>
      <c r="D336" s="1594" t="s">
        <v>153</v>
      </c>
      <c r="E336" s="1595"/>
      <c r="F336" s="1596"/>
      <c r="G336" s="541" t="s">
        <v>468</v>
      </c>
      <c r="H336" s="580" t="s">
        <v>602</v>
      </c>
    </row>
    <row r="337" spans="1:8" s="29" customFormat="1" ht="24.75" customHeight="1">
      <c r="A337" s="1564" t="s">
        <v>600</v>
      </c>
      <c r="B337" s="1565"/>
      <c r="C337" s="574" t="s">
        <v>469</v>
      </c>
      <c r="D337" s="574" t="s">
        <v>470</v>
      </c>
      <c r="E337" s="581" t="s">
        <v>471</v>
      </c>
      <c r="F337" s="581" t="s">
        <v>472</v>
      </c>
      <c r="G337" s="581" t="s">
        <v>473</v>
      </c>
      <c r="H337" s="582" t="s">
        <v>474</v>
      </c>
    </row>
    <row r="338" spans="1:8" s="29" customFormat="1" ht="24.75" customHeight="1">
      <c r="A338" s="1564" t="s">
        <v>748</v>
      </c>
      <c r="B338" s="1565"/>
      <c r="C338" s="1047" t="s">
        <v>1089</v>
      </c>
      <c r="D338" s="581" t="s">
        <v>749</v>
      </c>
      <c r="E338" s="583">
        <v>1</v>
      </c>
      <c r="F338" s="584" t="s">
        <v>475</v>
      </c>
      <c r="G338" s="584">
        <v>0</v>
      </c>
      <c r="H338" s="1382" t="s">
        <v>152</v>
      </c>
    </row>
    <row r="339" spans="1:8" s="29" customFormat="1" ht="24.75" customHeight="1">
      <c r="A339" s="1564" t="s">
        <v>750</v>
      </c>
      <c r="B339" s="1565"/>
      <c r="C339" s="585"/>
      <c r="D339" s="586" t="s">
        <v>414</v>
      </c>
      <c r="E339" s="584">
        <v>1</v>
      </c>
      <c r="F339" s="584" t="s">
        <v>475</v>
      </c>
      <c r="G339" s="584">
        <v>12</v>
      </c>
      <c r="H339" s="587"/>
    </row>
    <row r="340" spans="1:8" s="29" customFormat="1" ht="24.75" customHeight="1">
      <c r="A340" s="1564" t="s">
        <v>751</v>
      </c>
      <c r="B340" s="1565"/>
      <c r="C340" s="236" t="s">
        <v>752</v>
      </c>
      <c r="D340" s="586" t="s">
        <v>414</v>
      </c>
      <c r="E340" s="583">
        <v>1</v>
      </c>
      <c r="F340" s="584" t="s">
        <v>475</v>
      </c>
      <c r="G340" s="584">
        <v>42</v>
      </c>
      <c r="H340" s="587"/>
    </row>
    <row r="341" spans="1:8" s="29" customFormat="1" ht="24.75" customHeight="1">
      <c r="A341" s="1564" t="s">
        <v>753</v>
      </c>
      <c r="B341" s="1565"/>
      <c r="C341" s="589"/>
      <c r="D341" s="586" t="s">
        <v>414</v>
      </c>
      <c r="E341" s="584">
        <v>1</v>
      </c>
      <c r="F341" s="584" t="s">
        <v>475</v>
      </c>
      <c r="G341" s="584">
        <v>36</v>
      </c>
      <c r="H341" s="587"/>
    </row>
    <row r="342" spans="1:8" s="29" customFormat="1" ht="24.75" customHeight="1">
      <c r="A342" s="1564" t="s">
        <v>754</v>
      </c>
      <c r="B342" s="1565"/>
      <c r="C342" s="589"/>
      <c r="D342" s="586"/>
      <c r="E342" s="584"/>
      <c r="F342" s="584"/>
      <c r="G342" s="584">
        <f>SUM(G338:G341)</f>
        <v>90</v>
      </c>
      <c r="H342" s="587"/>
    </row>
    <row r="343" spans="1:8" s="29" customFormat="1" ht="24.75" customHeight="1">
      <c r="A343" s="416"/>
      <c r="B343" s="519"/>
      <c r="C343" s="391"/>
      <c r="D343" s="40"/>
      <c r="E343" s="330"/>
      <c r="F343" s="330"/>
      <c r="G343" s="330"/>
      <c r="H343" s="46"/>
    </row>
    <row r="344" spans="1:8" s="29" customFormat="1" ht="24.75" customHeight="1">
      <c r="A344" s="328"/>
      <c r="B344" s="333"/>
      <c r="C344" s="335"/>
      <c r="D344" s="40"/>
      <c r="E344" s="48"/>
      <c r="F344" s="48"/>
      <c r="G344" s="233"/>
      <c r="H344" s="334"/>
    </row>
    <row r="345" spans="1:8" s="29" customFormat="1" ht="24.75" customHeight="1">
      <c r="A345" s="328"/>
      <c r="B345" s="333"/>
      <c r="C345" s="351"/>
      <c r="D345" s="40"/>
      <c r="E345" s="330"/>
      <c r="F345" s="330"/>
      <c r="G345" s="330"/>
      <c r="H345" s="46"/>
    </row>
    <row r="346" spans="1:8" s="29" customFormat="1" ht="24.75" customHeight="1">
      <c r="A346" s="328"/>
      <c r="B346" s="333"/>
      <c r="C346" s="335"/>
      <c r="D346" s="40"/>
      <c r="E346" s="48"/>
      <c r="F346" s="48"/>
      <c r="G346" s="233"/>
      <c r="H346" s="334"/>
    </row>
    <row r="347" spans="1:8" s="29" customFormat="1" ht="24.75" customHeight="1" thickBot="1">
      <c r="A347" s="536"/>
      <c r="B347" s="537"/>
      <c r="C347" s="537"/>
      <c r="D347" s="599" t="s">
        <v>476</v>
      </c>
      <c r="E347" s="595" t="s">
        <v>783</v>
      </c>
      <c r="F347" s="596" t="s">
        <v>438</v>
      </c>
      <c r="G347" s="538">
        <f>G342</f>
        <v>90</v>
      </c>
      <c r="H347" s="539"/>
    </row>
    <row r="348" spans="1:8" ht="24.75" customHeight="1">
      <c r="A348" s="227"/>
      <c r="B348" s="29"/>
      <c r="C348" s="227"/>
      <c r="D348" s="227"/>
      <c r="E348" s="227"/>
      <c r="F348" s="227"/>
      <c r="G348" s="227"/>
      <c r="H348" s="227"/>
    </row>
    <row r="349" spans="1:8" ht="24.75" customHeight="1">
      <c r="A349" s="29" t="s">
        <v>457</v>
      </c>
      <c r="B349" s="29"/>
      <c r="C349" s="29"/>
      <c r="D349" s="29"/>
      <c r="E349" s="29" t="s">
        <v>458</v>
      </c>
      <c r="F349" s="29"/>
      <c r="G349" s="29"/>
      <c r="H349" s="29"/>
    </row>
    <row r="350" spans="1:8" ht="24.75" customHeight="1">
      <c r="A350" s="238" t="str">
        <f>A318</f>
        <v>經濟部水利署第十河川局</v>
      </c>
      <c r="B350" s="430"/>
      <c r="C350" s="430"/>
      <c r="D350" s="430"/>
      <c r="E350" s="430"/>
      <c r="F350" s="430"/>
      <c r="G350" s="430"/>
      <c r="H350" s="430"/>
    </row>
    <row r="351" spans="1:8" ht="24.75" customHeight="1">
      <c r="A351" s="239" t="str">
        <f>A319</f>
        <v>單  價  分  析  表</v>
      </c>
      <c r="B351" s="430"/>
      <c r="C351" s="430"/>
      <c r="D351" s="430"/>
      <c r="E351" s="430"/>
      <c r="F351" s="430"/>
      <c r="G351" s="430"/>
      <c r="H351" s="430"/>
    </row>
    <row r="352" spans="1:8" ht="24.75" customHeight="1">
      <c r="A352" s="1510" t="str">
        <f>A320</f>
        <v>工程名稱:基隆河整體治理計劃（前期計劃）瑞芳區塊介壽橋下游左右岸護岸工程</v>
      </c>
      <c r="B352" s="1510"/>
      <c r="C352" s="1510"/>
      <c r="D352" s="1510"/>
      <c r="E352" s="1510"/>
      <c r="F352" s="1510"/>
      <c r="G352" s="1510"/>
      <c r="H352" s="253" t="s">
        <v>1065</v>
      </c>
    </row>
    <row r="353" spans="1:8" ht="24.75" customHeight="1" thickBot="1">
      <c r="A353" s="1545" t="str">
        <f>A321</f>
        <v>施工地點：台北縣瑞芳鎮</v>
      </c>
      <c r="B353" s="1545"/>
      <c r="C353" s="1545"/>
      <c r="D353" s="1545"/>
      <c r="E353" s="431"/>
      <c r="F353" s="431"/>
      <c r="G353" s="1546" t="s">
        <v>20</v>
      </c>
      <c r="H353" s="1546"/>
    </row>
    <row r="354" spans="1:8" ht="24.75" customHeight="1">
      <c r="A354" s="407" t="s">
        <v>436</v>
      </c>
      <c r="B354" s="342">
        <v>23</v>
      </c>
      <c r="C354" s="521" t="s">
        <v>442</v>
      </c>
      <c r="D354" s="1611" t="s">
        <v>132</v>
      </c>
      <c r="E354" s="1612"/>
      <c r="F354" s="1613"/>
      <c r="G354" s="522" t="s">
        <v>468</v>
      </c>
      <c r="H354" s="523" t="s">
        <v>743</v>
      </c>
    </row>
    <row r="355" spans="1:8" ht="24.75" customHeight="1">
      <c r="A355" s="1591" t="s">
        <v>600</v>
      </c>
      <c r="B355" s="1562"/>
      <c r="C355" s="524" t="s">
        <v>469</v>
      </c>
      <c r="D355" s="524" t="s">
        <v>470</v>
      </c>
      <c r="E355" s="426" t="s">
        <v>471</v>
      </c>
      <c r="F355" s="426" t="s">
        <v>472</v>
      </c>
      <c r="G355" s="525" t="s">
        <v>731</v>
      </c>
      <c r="H355" s="428" t="s">
        <v>474</v>
      </c>
    </row>
    <row r="356" spans="1:8" ht="24.75" customHeight="1">
      <c r="A356" s="1591" t="s">
        <v>732</v>
      </c>
      <c r="B356" s="1562"/>
      <c r="C356" s="528" t="s">
        <v>133</v>
      </c>
      <c r="D356" s="526" t="s">
        <v>733</v>
      </c>
      <c r="E356" s="646">
        <v>16</v>
      </c>
      <c r="F356" s="647">
        <v>80</v>
      </c>
      <c r="G356" s="330">
        <f>E356*F356</f>
        <v>1280</v>
      </c>
      <c r="H356" s="527"/>
    </row>
    <row r="357" spans="1:8" ht="24.75" customHeight="1">
      <c r="A357" s="1591" t="s">
        <v>734</v>
      </c>
      <c r="B357" s="1562"/>
      <c r="C357" s="528"/>
      <c r="D357" s="526" t="s">
        <v>413</v>
      </c>
      <c r="E357" s="646">
        <v>0.87</v>
      </c>
      <c r="F357" s="647">
        <v>40</v>
      </c>
      <c r="G357" s="330">
        <f>E357*F357</f>
        <v>34.8</v>
      </c>
      <c r="H357" s="527"/>
    </row>
    <row r="358" spans="1:8" ht="24.75" customHeight="1">
      <c r="A358" s="1591" t="s">
        <v>735</v>
      </c>
      <c r="B358" s="1562"/>
      <c r="C358" s="528" t="s">
        <v>736</v>
      </c>
      <c r="D358" s="526" t="s">
        <v>467</v>
      </c>
      <c r="E358" s="646">
        <v>0.6</v>
      </c>
      <c r="F358" s="647">
        <v>900</v>
      </c>
      <c r="G358" s="330">
        <f>E358*F358</f>
        <v>540</v>
      </c>
      <c r="H358" s="527"/>
    </row>
    <row r="359" spans="1:8" ht="24.75" customHeight="1">
      <c r="A359" s="1591" t="s">
        <v>737</v>
      </c>
      <c r="B359" s="1562"/>
      <c r="C359" s="528"/>
      <c r="D359" s="526" t="s">
        <v>738</v>
      </c>
      <c r="E359" s="646">
        <v>0.45</v>
      </c>
      <c r="F359" s="647">
        <v>500</v>
      </c>
      <c r="G359" s="330">
        <f>E359*F359</f>
        <v>225</v>
      </c>
      <c r="H359" s="527"/>
    </row>
    <row r="360" spans="1:8" ht="24.75" customHeight="1">
      <c r="A360" s="1591" t="s">
        <v>744</v>
      </c>
      <c r="B360" s="1562"/>
      <c r="C360" s="529" t="s">
        <v>154</v>
      </c>
      <c r="D360" s="526" t="s">
        <v>739</v>
      </c>
      <c r="E360" s="646">
        <v>3</v>
      </c>
      <c r="F360" s="648">
        <v>700</v>
      </c>
      <c r="G360" s="330">
        <f>E360*F360</f>
        <v>2100</v>
      </c>
      <c r="H360" s="41" t="s">
        <v>351</v>
      </c>
    </row>
    <row r="361" spans="1:8" ht="24.75" customHeight="1">
      <c r="A361" s="1591" t="s">
        <v>740</v>
      </c>
      <c r="B361" s="1562"/>
      <c r="C361" s="429"/>
      <c r="D361" s="526" t="s">
        <v>741</v>
      </c>
      <c r="E361" s="646">
        <v>1</v>
      </c>
      <c r="F361" s="648" t="s">
        <v>742</v>
      </c>
      <c r="G361" s="330">
        <v>20.2</v>
      </c>
      <c r="H361" s="527"/>
    </row>
    <row r="362" spans="1:8" ht="24.75" customHeight="1">
      <c r="A362" s="1591" t="s">
        <v>705</v>
      </c>
      <c r="B362" s="1562"/>
      <c r="C362" s="530"/>
      <c r="D362" s="531"/>
      <c r="E362" s="330"/>
      <c r="F362" s="330"/>
      <c r="G362" s="330">
        <f>SUM(G356:G361)</f>
        <v>4200</v>
      </c>
      <c r="H362" s="527"/>
    </row>
    <row r="363" spans="1:8" ht="24.75" customHeight="1" thickBot="1">
      <c r="A363" s="536"/>
      <c r="B363" s="537"/>
      <c r="C363" s="537"/>
      <c r="D363" s="593" t="s">
        <v>755</v>
      </c>
      <c r="E363" s="597" t="s">
        <v>756</v>
      </c>
      <c r="F363" s="596" t="s">
        <v>438</v>
      </c>
      <c r="G363" s="354">
        <f>G362</f>
        <v>4200</v>
      </c>
      <c r="H363" s="520"/>
    </row>
    <row r="364" spans="1:8" ht="24.75" customHeight="1">
      <c r="A364" s="591" t="s">
        <v>436</v>
      </c>
      <c r="B364" s="540">
        <v>24</v>
      </c>
      <c r="C364" s="624" t="s">
        <v>442</v>
      </c>
      <c r="D364" s="1618" t="s">
        <v>782</v>
      </c>
      <c r="E364" s="1619"/>
      <c r="F364" s="1620"/>
      <c r="G364" s="625" t="s">
        <v>468</v>
      </c>
      <c r="H364" s="626" t="s">
        <v>760</v>
      </c>
    </row>
    <row r="365" spans="1:8" ht="24.75" customHeight="1">
      <c r="A365" s="1624" t="s">
        <v>600</v>
      </c>
      <c r="B365" s="1625"/>
      <c r="C365" s="627" t="s">
        <v>469</v>
      </c>
      <c r="D365" s="627" t="s">
        <v>470</v>
      </c>
      <c r="E365" s="628" t="s">
        <v>471</v>
      </c>
      <c r="F365" s="628" t="s">
        <v>472</v>
      </c>
      <c r="G365" s="628" t="s">
        <v>473</v>
      </c>
      <c r="H365" s="629" t="s">
        <v>474</v>
      </c>
    </row>
    <row r="366" spans="1:8" ht="24.75" customHeight="1">
      <c r="A366" s="1564" t="s">
        <v>761</v>
      </c>
      <c r="B366" s="1565"/>
      <c r="C366" s="630"/>
      <c r="D366" s="224" t="s">
        <v>599</v>
      </c>
      <c r="E366" s="631">
        <v>50</v>
      </c>
      <c r="F366" s="631">
        <v>80</v>
      </c>
      <c r="G366" s="632">
        <f aca="true" t="shared" si="1" ref="G366:G373">E366*F366</f>
        <v>4000</v>
      </c>
      <c r="H366" s="633"/>
    </row>
    <row r="367" spans="1:8" s="29" customFormat="1" ht="24.75" customHeight="1">
      <c r="A367" s="1564" t="s">
        <v>762</v>
      </c>
      <c r="B367" s="1565"/>
      <c r="C367" s="630" t="s">
        <v>729</v>
      </c>
      <c r="D367" s="224" t="s">
        <v>599</v>
      </c>
      <c r="E367" s="631">
        <v>90</v>
      </c>
      <c r="F367" s="631">
        <v>30</v>
      </c>
      <c r="G367" s="632">
        <f t="shared" si="1"/>
        <v>2700</v>
      </c>
      <c r="H367" s="633"/>
    </row>
    <row r="368" spans="1:8" s="29" customFormat="1" ht="24.75" customHeight="1">
      <c r="A368" s="1564" t="s">
        <v>763</v>
      </c>
      <c r="B368" s="1565"/>
      <c r="C368" s="630" t="s">
        <v>764</v>
      </c>
      <c r="D368" s="224" t="s">
        <v>599</v>
      </c>
      <c r="E368" s="631">
        <v>1500</v>
      </c>
      <c r="F368" s="631">
        <v>10</v>
      </c>
      <c r="G368" s="632">
        <f t="shared" si="1"/>
        <v>15000</v>
      </c>
      <c r="H368" s="633"/>
    </row>
    <row r="369" spans="1:8" s="29" customFormat="1" ht="24.75" customHeight="1">
      <c r="A369" s="1564" t="s">
        <v>765</v>
      </c>
      <c r="B369" s="1565"/>
      <c r="C369" s="630"/>
      <c r="D369" s="224" t="s">
        <v>599</v>
      </c>
      <c r="E369" s="631">
        <v>65</v>
      </c>
      <c r="F369" s="631">
        <v>50</v>
      </c>
      <c r="G369" s="632">
        <f t="shared" si="1"/>
        <v>3250</v>
      </c>
      <c r="H369" s="633"/>
    </row>
    <row r="370" spans="1:8" s="29" customFormat="1" ht="24.75" customHeight="1">
      <c r="A370" s="1564" t="s">
        <v>766</v>
      </c>
      <c r="B370" s="1565"/>
      <c r="C370" s="630"/>
      <c r="D370" s="224" t="s">
        <v>599</v>
      </c>
      <c r="E370" s="631">
        <v>20</v>
      </c>
      <c r="F370" s="631">
        <v>150</v>
      </c>
      <c r="G370" s="632">
        <f t="shared" si="1"/>
        <v>3000</v>
      </c>
      <c r="H370" s="634"/>
    </row>
    <row r="371" spans="1:8" s="29" customFormat="1" ht="24.75" customHeight="1">
      <c r="A371" s="1564" t="s">
        <v>767</v>
      </c>
      <c r="B371" s="1565"/>
      <c r="C371" s="645" t="s">
        <v>768</v>
      </c>
      <c r="D371" s="224" t="s">
        <v>599</v>
      </c>
      <c r="E371" s="631">
        <v>2.5</v>
      </c>
      <c r="F371" s="631">
        <v>500</v>
      </c>
      <c r="G371" s="632">
        <f t="shared" si="1"/>
        <v>1250</v>
      </c>
      <c r="H371" s="633"/>
    </row>
    <row r="372" spans="1:8" s="29" customFormat="1" ht="24.75" customHeight="1">
      <c r="A372" s="1564" t="s">
        <v>769</v>
      </c>
      <c r="B372" s="1565"/>
      <c r="C372" s="630" t="s">
        <v>770</v>
      </c>
      <c r="D372" s="224" t="s">
        <v>728</v>
      </c>
      <c r="E372" s="631">
        <v>1</v>
      </c>
      <c r="F372" s="631">
        <v>700</v>
      </c>
      <c r="G372" s="632">
        <f t="shared" si="1"/>
        <v>700</v>
      </c>
      <c r="H372" s="634"/>
    </row>
    <row r="373" spans="1:8" s="29" customFormat="1" ht="24.75" customHeight="1">
      <c r="A373" s="1564" t="s">
        <v>771</v>
      </c>
      <c r="B373" s="1565"/>
      <c r="C373" s="630"/>
      <c r="D373" s="224" t="s">
        <v>730</v>
      </c>
      <c r="E373" s="631">
        <v>2</v>
      </c>
      <c r="F373" s="631">
        <v>1200</v>
      </c>
      <c r="G373" s="632">
        <f t="shared" si="1"/>
        <v>2400</v>
      </c>
      <c r="H373" s="635"/>
    </row>
    <row r="374" spans="1:8" s="29" customFormat="1" ht="24.75" customHeight="1">
      <c r="A374" s="1564" t="s">
        <v>772</v>
      </c>
      <c r="B374" s="1565"/>
      <c r="C374" s="636" t="s">
        <v>773</v>
      </c>
      <c r="D374" s="40" t="s">
        <v>414</v>
      </c>
      <c r="E374" s="48">
        <v>1</v>
      </c>
      <c r="F374" s="1126" t="s">
        <v>774</v>
      </c>
      <c r="G374" s="632">
        <v>6600</v>
      </c>
      <c r="H374" s="638" t="s">
        <v>775</v>
      </c>
    </row>
    <row r="375" spans="1:8" s="29" customFormat="1" ht="24.75" customHeight="1">
      <c r="A375" s="1564" t="s">
        <v>776</v>
      </c>
      <c r="B375" s="1565"/>
      <c r="C375" s="630" t="s">
        <v>777</v>
      </c>
      <c r="D375" s="224" t="s">
        <v>778</v>
      </c>
      <c r="E375" s="631">
        <v>1</v>
      </c>
      <c r="F375" s="1126" t="s">
        <v>779</v>
      </c>
      <c r="G375" s="632">
        <v>1100</v>
      </c>
      <c r="H375" s="635"/>
    </row>
    <row r="376" spans="1:8" s="29" customFormat="1" ht="24.75" customHeight="1">
      <c r="A376" s="1564" t="s">
        <v>780</v>
      </c>
      <c r="B376" s="1565"/>
      <c r="C376" s="224"/>
      <c r="D376" s="441"/>
      <c r="E376" s="639"/>
      <c r="F376" s="639"/>
      <c r="G376" s="640">
        <f>SUM(G366:G375)</f>
        <v>40000</v>
      </c>
      <c r="H376" s="641"/>
    </row>
    <row r="377" spans="1:8" s="29" customFormat="1" ht="24.75" customHeight="1">
      <c r="A377" s="1564"/>
      <c r="B377" s="1565"/>
      <c r="C377" s="224"/>
      <c r="D377" s="441"/>
      <c r="E377" s="639"/>
      <c r="F377" s="1042"/>
      <c r="G377" s="640"/>
      <c r="H377" s="641"/>
    </row>
    <row r="378" spans="1:8" s="29" customFormat="1" ht="24.75" customHeight="1">
      <c r="A378" s="1626" t="s">
        <v>781</v>
      </c>
      <c r="B378" s="1627"/>
      <c r="C378" s="1627"/>
      <c r="D378" s="1627"/>
      <c r="E378" s="1628"/>
      <c r="F378" s="640"/>
      <c r="G378" s="640"/>
      <c r="H378" s="641"/>
    </row>
    <row r="379" spans="1:8" s="29" customFormat="1" ht="24.75" customHeight="1" thickBot="1">
      <c r="A379" s="575"/>
      <c r="B379" s="576"/>
      <c r="C379" s="576"/>
      <c r="D379" s="594" t="s">
        <v>601</v>
      </c>
      <c r="E379" s="597" t="s">
        <v>1090</v>
      </c>
      <c r="F379" s="595" t="s">
        <v>438</v>
      </c>
      <c r="G379" s="577">
        <v>120</v>
      </c>
      <c r="H379" s="539"/>
    </row>
    <row r="380" spans="1:8" ht="24.75" customHeight="1">
      <c r="A380" s="227"/>
      <c r="B380" s="29"/>
      <c r="C380" s="227"/>
      <c r="D380" s="227"/>
      <c r="E380" s="227"/>
      <c r="F380" s="227"/>
      <c r="G380" s="227"/>
      <c r="H380" s="227"/>
    </row>
    <row r="381" spans="1:8" ht="24.75" customHeight="1">
      <c r="A381" s="29" t="s">
        <v>457</v>
      </c>
      <c r="B381" s="29"/>
      <c r="C381" s="29"/>
      <c r="D381" s="29"/>
      <c r="E381" s="29" t="s">
        <v>458</v>
      </c>
      <c r="F381" s="29"/>
      <c r="G381" s="29"/>
      <c r="H381" s="29"/>
    </row>
    <row r="382" spans="1:8" ht="24.75" customHeight="1">
      <c r="A382" s="238" t="str">
        <f>A350</f>
        <v>經濟部水利署第十河川局</v>
      </c>
      <c r="B382" s="430"/>
      <c r="C382" s="430"/>
      <c r="D382" s="430"/>
      <c r="E382" s="430"/>
      <c r="F382" s="430"/>
      <c r="G382" s="430"/>
      <c r="H382" s="430"/>
    </row>
    <row r="383" spans="1:8" ht="24.75" customHeight="1">
      <c r="A383" s="239" t="str">
        <f>A351</f>
        <v>單  價  分  析  表</v>
      </c>
      <c r="B383" s="430"/>
      <c r="C383" s="430"/>
      <c r="D383" s="430"/>
      <c r="E383" s="430"/>
      <c r="F383" s="430"/>
      <c r="G383" s="430"/>
      <c r="H383" s="430"/>
    </row>
    <row r="384" spans="1:8" ht="24.75" customHeight="1">
      <c r="A384" s="1510" t="str">
        <f>A352</f>
        <v>工程名稱:基隆河整體治理計劃（前期計劃）瑞芳區塊介壽橋下游左右岸護岸工程</v>
      </c>
      <c r="B384" s="1510"/>
      <c r="C384" s="1510"/>
      <c r="D384" s="1510"/>
      <c r="E384" s="1510"/>
      <c r="F384" s="1510"/>
      <c r="G384" s="1510"/>
      <c r="H384" s="253" t="s">
        <v>1065</v>
      </c>
    </row>
    <row r="385" spans="1:8" ht="24.75" customHeight="1" thickBot="1">
      <c r="A385" s="1545" t="str">
        <f>A353</f>
        <v>施工地點：台北縣瑞芳鎮</v>
      </c>
      <c r="B385" s="1545"/>
      <c r="C385" s="1545"/>
      <c r="D385" s="1545"/>
      <c r="E385" s="431"/>
      <c r="F385" s="431"/>
      <c r="G385" s="1546" t="s">
        <v>19</v>
      </c>
      <c r="H385" s="1546"/>
    </row>
    <row r="386" spans="1:8" s="29" customFormat="1" ht="24.75" customHeight="1">
      <c r="A386" s="591" t="s">
        <v>436</v>
      </c>
      <c r="B386" s="540">
        <v>25</v>
      </c>
      <c r="C386" s="624" t="s">
        <v>442</v>
      </c>
      <c r="D386" s="1621" t="s">
        <v>134</v>
      </c>
      <c r="E386" s="1622"/>
      <c r="F386" s="1623"/>
      <c r="G386" s="541" t="s">
        <v>468</v>
      </c>
      <c r="H386" s="542" t="s">
        <v>979</v>
      </c>
    </row>
    <row r="387" spans="1:8" s="29" customFormat="1" ht="24.75" customHeight="1">
      <c r="A387" s="1581" t="s">
        <v>600</v>
      </c>
      <c r="B387" s="1582"/>
      <c r="C387" s="543" t="s">
        <v>469</v>
      </c>
      <c r="D387" s="543" t="s">
        <v>470</v>
      </c>
      <c r="E387" s="544" t="s">
        <v>471</v>
      </c>
      <c r="F387" s="544" t="s">
        <v>472</v>
      </c>
      <c r="G387" s="545" t="s">
        <v>731</v>
      </c>
      <c r="H387" s="546" t="s">
        <v>474</v>
      </c>
    </row>
    <row r="388" spans="1:8" s="29" customFormat="1" ht="24.75" customHeight="1">
      <c r="A388" s="1564" t="s">
        <v>135</v>
      </c>
      <c r="B388" s="1565"/>
      <c r="C388" s="547"/>
      <c r="D388" s="548" t="s">
        <v>745</v>
      </c>
      <c r="E388" s="549">
        <v>1</v>
      </c>
      <c r="F388" s="550">
        <v>110</v>
      </c>
      <c r="G388" s="551">
        <f>E388*F388</f>
        <v>110</v>
      </c>
      <c r="H388" s="552"/>
    </row>
    <row r="389" spans="1:8" s="29" customFormat="1" ht="24.75" customHeight="1">
      <c r="A389" s="1564" t="s">
        <v>746</v>
      </c>
      <c r="B389" s="1565"/>
      <c r="C389" s="553"/>
      <c r="D389" s="548" t="s">
        <v>467</v>
      </c>
      <c r="E389" s="549">
        <v>0.01</v>
      </c>
      <c r="F389" s="550">
        <v>800</v>
      </c>
      <c r="G389" s="551">
        <f>E389*F389</f>
        <v>8</v>
      </c>
      <c r="H389" s="552"/>
    </row>
    <row r="390" spans="1:8" ht="24.75" customHeight="1">
      <c r="A390" s="1564" t="s">
        <v>747</v>
      </c>
      <c r="B390" s="1565"/>
      <c r="C390" s="553"/>
      <c r="D390" s="548" t="s">
        <v>741</v>
      </c>
      <c r="E390" s="549">
        <v>1</v>
      </c>
      <c r="F390" s="554" t="s">
        <v>464</v>
      </c>
      <c r="G390" s="551">
        <v>2</v>
      </c>
      <c r="H390" s="552"/>
    </row>
    <row r="391" spans="1:8" ht="24.75" customHeight="1">
      <c r="A391" s="1564" t="s">
        <v>705</v>
      </c>
      <c r="B391" s="1565"/>
      <c r="C391" s="557"/>
      <c r="D391" s="558"/>
      <c r="E391" s="551"/>
      <c r="F391" s="551"/>
      <c r="G391" s="551">
        <f>SUM(G386:G390)</f>
        <v>120</v>
      </c>
      <c r="H391" s="552"/>
    </row>
    <row r="392" spans="1:8" ht="24.75" customHeight="1">
      <c r="A392" s="559"/>
      <c r="B392" s="560"/>
      <c r="C392" s="561"/>
      <c r="D392" s="562"/>
      <c r="E392" s="563"/>
      <c r="F392" s="564"/>
      <c r="G392" s="565"/>
      <c r="H392" s="566"/>
    </row>
    <row r="393" spans="1:8" ht="24.75" customHeight="1">
      <c r="A393" s="555"/>
      <c r="B393" s="556"/>
      <c r="C393" s="557"/>
      <c r="D393" s="558"/>
      <c r="E393" s="551"/>
      <c r="F393" s="551"/>
      <c r="G393" s="551"/>
      <c r="H393" s="552"/>
    </row>
    <row r="394" spans="1:8" ht="24.75" customHeight="1">
      <c r="A394" s="567"/>
      <c r="B394" s="568"/>
      <c r="C394" s="569"/>
      <c r="D394" s="570"/>
      <c r="E394" s="565"/>
      <c r="F394" s="565"/>
      <c r="G394" s="565"/>
      <c r="H394" s="571"/>
    </row>
    <row r="395" spans="1:8" ht="24.75" customHeight="1">
      <c r="A395" s="572"/>
      <c r="B395" s="568"/>
      <c r="C395" s="569"/>
      <c r="D395" s="570"/>
      <c r="E395" s="565"/>
      <c r="F395" s="565"/>
      <c r="G395" s="565"/>
      <c r="H395" s="573"/>
    </row>
    <row r="396" spans="1:8" ht="24.75" customHeight="1" thickBot="1">
      <c r="A396" s="575"/>
      <c r="B396" s="576"/>
      <c r="C396" s="576"/>
      <c r="D396" s="594" t="s">
        <v>601</v>
      </c>
      <c r="E396" s="598" t="s">
        <v>1090</v>
      </c>
      <c r="F396" s="596" t="s">
        <v>438</v>
      </c>
      <c r="G396" s="577">
        <f>G391</f>
        <v>120</v>
      </c>
      <c r="H396" s="578"/>
    </row>
    <row r="397" spans="1:8" ht="24.75" customHeight="1">
      <c r="A397" s="591" t="s">
        <v>436</v>
      </c>
      <c r="B397" s="540">
        <v>26</v>
      </c>
      <c r="C397" s="624" t="s">
        <v>442</v>
      </c>
      <c r="D397" s="751" t="s">
        <v>826</v>
      </c>
      <c r="E397" s="752"/>
      <c r="F397" s="753"/>
      <c r="G397" s="625" t="s">
        <v>468</v>
      </c>
      <c r="H397" s="626" t="s">
        <v>827</v>
      </c>
    </row>
    <row r="398" spans="1:8" ht="24.75" customHeight="1">
      <c r="A398" s="1564" t="s">
        <v>592</v>
      </c>
      <c r="B398" s="1583"/>
      <c r="C398" s="754" t="s">
        <v>469</v>
      </c>
      <c r="D398" s="754" t="s">
        <v>470</v>
      </c>
      <c r="E398" s="544" t="s">
        <v>471</v>
      </c>
      <c r="F398" s="544" t="s">
        <v>472</v>
      </c>
      <c r="G398" s="544" t="s">
        <v>473</v>
      </c>
      <c r="H398" s="546" t="s">
        <v>474</v>
      </c>
    </row>
    <row r="399" spans="1:8" ht="24.75" customHeight="1">
      <c r="A399" s="1564" t="s">
        <v>828</v>
      </c>
      <c r="B399" s="1565"/>
      <c r="C399" s="757" t="s">
        <v>829</v>
      </c>
      <c r="D399" s="758" t="s">
        <v>830</v>
      </c>
      <c r="E399" s="759">
        <v>1.2</v>
      </c>
      <c r="F399" s="534">
        <v>750</v>
      </c>
      <c r="G399" s="760">
        <f aca="true" t="shared" si="2" ref="G399:G405">E399*F399</f>
        <v>900</v>
      </c>
      <c r="H399" s="552"/>
    </row>
    <row r="400" spans="1:8" ht="24.75" customHeight="1">
      <c r="A400" s="1564" t="s">
        <v>831</v>
      </c>
      <c r="B400" s="1565"/>
      <c r="C400" s="761" t="s">
        <v>832</v>
      </c>
      <c r="D400" s="558" t="s">
        <v>833</v>
      </c>
      <c r="E400" s="534">
        <v>0.03</v>
      </c>
      <c r="F400" s="534">
        <v>800</v>
      </c>
      <c r="G400" s="760">
        <f t="shared" si="2"/>
        <v>24</v>
      </c>
      <c r="H400" s="552"/>
    </row>
    <row r="401" spans="1:8" ht="24.75" customHeight="1">
      <c r="A401" s="1564" t="s">
        <v>834</v>
      </c>
      <c r="B401" s="1565"/>
      <c r="C401" s="762" t="s">
        <v>835</v>
      </c>
      <c r="D401" s="558" t="s">
        <v>833</v>
      </c>
      <c r="E401" s="534">
        <v>0.02</v>
      </c>
      <c r="F401" s="534">
        <v>700</v>
      </c>
      <c r="G401" s="760">
        <f t="shared" si="2"/>
        <v>14</v>
      </c>
      <c r="H401" s="552"/>
    </row>
    <row r="402" spans="1:8" s="29" customFormat="1" ht="24.75" customHeight="1">
      <c r="A402" s="1564" t="s">
        <v>836</v>
      </c>
      <c r="B402" s="1565"/>
      <c r="C402" s="762" t="s">
        <v>837</v>
      </c>
      <c r="D402" s="558" t="s">
        <v>833</v>
      </c>
      <c r="E402" s="534">
        <v>0.01</v>
      </c>
      <c r="F402" s="534">
        <v>1200</v>
      </c>
      <c r="G402" s="760">
        <f t="shared" si="2"/>
        <v>12</v>
      </c>
      <c r="H402" s="552"/>
    </row>
    <row r="403" spans="1:8" s="29" customFormat="1" ht="24.75" customHeight="1">
      <c r="A403" s="1564" t="s">
        <v>838</v>
      </c>
      <c r="B403" s="1565"/>
      <c r="C403" s="763"/>
      <c r="D403" s="558" t="s">
        <v>833</v>
      </c>
      <c r="E403" s="534">
        <v>0.01</v>
      </c>
      <c r="F403" s="534">
        <v>800</v>
      </c>
      <c r="G403" s="760">
        <f t="shared" si="2"/>
        <v>8</v>
      </c>
      <c r="H403" s="552"/>
    </row>
    <row r="404" spans="1:8" s="29" customFormat="1" ht="24.75" customHeight="1">
      <c r="A404" s="1564" t="s">
        <v>839</v>
      </c>
      <c r="B404" s="1565"/>
      <c r="C404" s="763"/>
      <c r="D404" s="558" t="s">
        <v>840</v>
      </c>
      <c r="E404" s="534">
        <v>0.05</v>
      </c>
      <c r="F404" s="534">
        <v>900</v>
      </c>
      <c r="G404" s="760">
        <f t="shared" si="2"/>
        <v>45</v>
      </c>
      <c r="H404" s="552"/>
    </row>
    <row r="405" spans="1:8" s="29" customFormat="1" ht="24.75" customHeight="1">
      <c r="A405" s="1564" t="s">
        <v>1074</v>
      </c>
      <c r="B405" s="1565"/>
      <c r="C405" s="763"/>
      <c r="D405" s="558" t="s">
        <v>840</v>
      </c>
      <c r="E405" s="534">
        <v>0.05</v>
      </c>
      <c r="F405" s="534">
        <v>700</v>
      </c>
      <c r="G405" s="760">
        <f t="shared" si="2"/>
        <v>35</v>
      </c>
      <c r="H405" s="552"/>
    </row>
    <row r="406" spans="1:8" s="29" customFormat="1" ht="24.75" customHeight="1">
      <c r="A406" s="1564" t="s">
        <v>1073</v>
      </c>
      <c r="B406" s="1565"/>
      <c r="C406" s="763"/>
      <c r="D406" s="558" t="s">
        <v>841</v>
      </c>
      <c r="E406" s="764">
        <v>1</v>
      </c>
      <c r="F406" s="48" t="s">
        <v>842</v>
      </c>
      <c r="G406" s="760">
        <v>12</v>
      </c>
      <c r="H406" s="552"/>
    </row>
    <row r="407" spans="1:8" s="29" customFormat="1" ht="24.75" customHeight="1">
      <c r="A407" s="1564" t="s">
        <v>1039</v>
      </c>
      <c r="B407" s="1565"/>
      <c r="C407" s="763"/>
      <c r="D407" s="558"/>
      <c r="E407" s="760"/>
      <c r="F407" s="760"/>
      <c r="G407" s="760">
        <f>SUM(G399:G406)</f>
        <v>1050</v>
      </c>
      <c r="H407" s="748"/>
    </row>
    <row r="408" spans="1:8" s="29" customFormat="1" ht="24.75" customHeight="1">
      <c r="A408" s="755"/>
      <c r="B408" s="756"/>
      <c r="C408" s="763"/>
      <c r="D408" s="558"/>
      <c r="E408" s="760"/>
      <c r="F408" s="760"/>
      <c r="G408" s="760"/>
      <c r="H408" s="748"/>
    </row>
    <row r="409" spans="1:8" s="29" customFormat="1" ht="24.75" customHeight="1">
      <c r="A409" s="755"/>
      <c r="B409" s="756"/>
      <c r="C409" s="763"/>
      <c r="D409" s="558"/>
      <c r="E409" s="760"/>
      <c r="F409" s="760"/>
      <c r="G409" s="760"/>
      <c r="H409" s="748"/>
    </row>
    <row r="410" spans="1:8" s="29" customFormat="1" ht="24.75" customHeight="1">
      <c r="A410" s="567"/>
      <c r="B410" s="568"/>
      <c r="C410" s="569"/>
      <c r="D410" s="570"/>
      <c r="E410" s="565"/>
      <c r="F410" s="565"/>
      <c r="G410" s="565"/>
      <c r="H410" s="571"/>
    </row>
    <row r="411" spans="1:8" s="29" customFormat="1" ht="24.75" customHeight="1" thickBot="1">
      <c r="A411" s="1051"/>
      <c r="B411" s="593"/>
      <c r="C411" s="593"/>
      <c r="D411" s="594" t="s">
        <v>601</v>
      </c>
      <c r="E411" s="597" t="str">
        <f>H397</f>
        <v>m3</v>
      </c>
      <c r="F411" s="595" t="s">
        <v>438</v>
      </c>
      <c r="G411" s="577">
        <f>G407</f>
        <v>1050</v>
      </c>
      <c r="H411" s="765"/>
    </row>
    <row r="412" spans="1:8" ht="24.75" customHeight="1">
      <c r="A412" s="227"/>
      <c r="B412" s="29"/>
      <c r="C412" s="227"/>
      <c r="D412" s="227"/>
      <c r="E412" s="227"/>
      <c r="F412" s="227"/>
      <c r="G412" s="227"/>
      <c r="H412" s="227"/>
    </row>
    <row r="413" spans="1:8" ht="24.75" customHeight="1">
      <c r="A413" s="29" t="s">
        <v>457</v>
      </c>
      <c r="B413" s="29"/>
      <c r="C413" s="29"/>
      <c r="D413" s="29"/>
      <c r="E413" s="29" t="s">
        <v>458</v>
      </c>
      <c r="F413" s="29"/>
      <c r="G413" s="29"/>
      <c r="H413" s="29"/>
    </row>
    <row r="414" spans="1:8" ht="24.75" customHeight="1">
      <c r="A414" s="238" t="str">
        <f>A382</f>
        <v>經濟部水利署第十河川局</v>
      </c>
      <c r="B414" s="430"/>
      <c r="C414" s="430"/>
      <c r="D414" s="430"/>
      <c r="E414" s="430"/>
      <c r="F414" s="430"/>
      <c r="G414" s="430"/>
      <c r="H414" s="430"/>
    </row>
    <row r="415" spans="1:8" ht="24.75" customHeight="1">
      <c r="A415" s="239" t="str">
        <f>A383</f>
        <v>單  價  分  析  表</v>
      </c>
      <c r="B415" s="430"/>
      <c r="C415" s="430"/>
      <c r="D415" s="430"/>
      <c r="E415" s="430"/>
      <c r="F415" s="430"/>
      <c r="G415" s="430"/>
      <c r="H415" s="430"/>
    </row>
    <row r="416" spans="1:8" ht="24.75" customHeight="1">
      <c r="A416" s="1510" t="str">
        <f>A384</f>
        <v>工程名稱:基隆河整體治理計劃（前期計劃）瑞芳區塊介壽橋下游左右岸護岸工程</v>
      </c>
      <c r="B416" s="1510"/>
      <c r="C416" s="1510"/>
      <c r="D416" s="1510"/>
      <c r="E416" s="1510"/>
      <c r="F416" s="1510"/>
      <c r="G416" s="1510"/>
      <c r="H416" s="253" t="s">
        <v>1065</v>
      </c>
    </row>
    <row r="417" spans="1:8" ht="24.75" customHeight="1" thickBot="1">
      <c r="A417" s="1545" t="str">
        <f>A385</f>
        <v>施工地點：台北縣瑞芳鎮</v>
      </c>
      <c r="B417" s="1545"/>
      <c r="C417" s="1545"/>
      <c r="D417" s="1545"/>
      <c r="E417" s="431"/>
      <c r="F417" s="431"/>
      <c r="G417" s="1546" t="s">
        <v>18</v>
      </c>
      <c r="H417" s="1546"/>
    </row>
    <row r="418" spans="1:8" s="29" customFormat="1" ht="24.75" customHeight="1">
      <c r="A418" s="394" t="s">
        <v>436</v>
      </c>
      <c r="B418" s="395">
        <v>27</v>
      </c>
      <c r="C418" s="624" t="s">
        <v>442</v>
      </c>
      <c r="D418" s="396" t="s">
        <v>1041</v>
      </c>
      <c r="E418" s="396"/>
      <c r="F418" s="397"/>
      <c r="G418" s="398" t="s">
        <v>468</v>
      </c>
      <c r="H418" s="1048" t="s">
        <v>1042</v>
      </c>
    </row>
    <row r="419" spans="1:8" s="29" customFormat="1" ht="24.75" customHeight="1">
      <c r="A419" s="999" t="s">
        <v>559</v>
      </c>
      <c r="B419" s="1049"/>
      <c r="C419" s="50" t="s">
        <v>469</v>
      </c>
      <c r="D419" s="50" t="s">
        <v>470</v>
      </c>
      <c r="E419" s="38" t="s">
        <v>471</v>
      </c>
      <c r="F419" s="38" t="s">
        <v>472</v>
      </c>
      <c r="G419" s="38" t="s">
        <v>473</v>
      </c>
      <c r="H419" s="51" t="s">
        <v>474</v>
      </c>
    </row>
    <row r="420" spans="1:8" s="29" customFormat="1" ht="24.75" customHeight="1">
      <c r="A420" s="1564" t="s">
        <v>1075</v>
      </c>
      <c r="B420" s="1565"/>
      <c r="C420" s="1031"/>
      <c r="D420" s="40" t="s">
        <v>579</v>
      </c>
      <c r="E420" s="935">
        <v>0.3</v>
      </c>
      <c r="F420" s="330">
        <v>400</v>
      </c>
      <c r="G420" s="330">
        <v>120</v>
      </c>
      <c r="H420" s="46"/>
    </row>
    <row r="421" spans="1:8" s="29" customFormat="1" ht="24.75" customHeight="1">
      <c r="A421" s="1564" t="s">
        <v>1076</v>
      </c>
      <c r="B421" s="1565"/>
      <c r="C421" s="347"/>
      <c r="D421" s="40" t="s">
        <v>579</v>
      </c>
      <c r="E421" s="935">
        <v>0.2</v>
      </c>
      <c r="F421" s="331">
        <v>900</v>
      </c>
      <c r="G421" s="330">
        <v>180</v>
      </c>
      <c r="H421" s="46"/>
    </row>
    <row r="422" spans="1:8" s="29" customFormat="1" ht="24.75" customHeight="1">
      <c r="A422" s="1564" t="s">
        <v>1077</v>
      </c>
      <c r="B422" s="1565"/>
      <c r="C422" s="347"/>
      <c r="D422" s="40" t="s">
        <v>579</v>
      </c>
      <c r="E422" s="330">
        <v>0.4</v>
      </c>
      <c r="F422" s="330">
        <v>480</v>
      </c>
      <c r="G422" s="330">
        <v>192</v>
      </c>
      <c r="H422" s="46"/>
    </row>
    <row r="423" spans="1:8" s="29" customFormat="1" ht="24.75" customHeight="1">
      <c r="A423" s="1564" t="s">
        <v>1078</v>
      </c>
      <c r="B423" s="1565"/>
      <c r="C423" s="347"/>
      <c r="D423" s="40" t="s">
        <v>579</v>
      </c>
      <c r="E423" s="330">
        <v>0.1</v>
      </c>
      <c r="F423" s="330">
        <v>75</v>
      </c>
      <c r="G423" s="330">
        <v>7.5</v>
      </c>
      <c r="H423" s="46"/>
    </row>
    <row r="424" spans="1:8" s="29" customFormat="1" ht="24.75" customHeight="1">
      <c r="A424" s="1564" t="s">
        <v>1079</v>
      </c>
      <c r="B424" s="1565"/>
      <c r="C424" s="347"/>
      <c r="D424" s="40" t="s">
        <v>579</v>
      </c>
      <c r="E424" s="330">
        <v>1</v>
      </c>
      <c r="F424" s="330">
        <v>112.5</v>
      </c>
      <c r="G424" s="330">
        <v>112.5</v>
      </c>
      <c r="H424" s="46"/>
    </row>
    <row r="425" spans="1:8" s="29" customFormat="1" ht="24.75" customHeight="1">
      <c r="A425" s="1564" t="s">
        <v>1080</v>
      </c>
      <c r="B425" s="1565"/>
      <c r="C425" s="351"/>
      <c r="D425" s="40" t="s">
        <v>579</v>
      </c>
      <c r="E425" s="330">
        <v>0.9</v>
      </c>
      <c r="F425" s="330">
        <v>100</v>
      </c>
      <c r="G425" s="330">
        <v>90</v>
      </c>
      <c r="H425" s="46"/>
    </row>
    <row r="426" spans="1:8" s="29" customFormat="1" ht="24.75" customHeight="1">
      <c r="A426" s="1564" t="s">
        <v>1081</v>
      </c>
      <c r="B426" s="1565"/>
      <c r="C426" s="351"/>
      <c r="D426" s="40" t="s">
        <v>467</v>
      </c>
      <c r="E426" s="330">
        <v>0.5</v>
      </c>
      <c r="F426" s="330">
        <v>700</v>
      </c>
      <c r="G426" s="330">
        <v>350</v>
      </c>
      <c r="H426" s="47"/>
    </row>
    <row r="427" spans="1:8" s="29" customFormat="1" ht="24.75" customHeight="1">
      <c r="A427" s="1564" t="s">
        <v>1082</v>
      </c>
      <c r="B427" s="1565"/>
      <c r="C427" s="351"/>
      <c r="D427" s="40" t="s">
        <v>414</v>
      </c>
      <c r="E427" s="330">
        <v>1</v>
      </c>
      <c r="F427" s="330" t="s">
        <v>475</v>
      </c>
      <c r="G427" s="330">
        <v>18</v>
      </c>
      <c r="H427" s="1050"/>
    </row>
    <row r="428" spans="1:8" s="29" customFormat="1" ht="24.75" customHeight="1">
      <c r="A428" s="1564" t="s">
        <v>1039</v>
      </c>
      <c r="B428" s="1565"/>
      <c r="C428" s="335"/>
      <c r="D428" s="40"/>
      <c r="E428" s="48"/>
      <c r="F428" s="48"/>
      <c r="G428" s="233" t="s">
        <v>1043</v>
      </c>
      <c r="H428" s="334"/>
    </row>
    <row r="429" spans="1:8" s="29" customFormat="1" ht="24.75" customHeight="1">
      <c r="A429" s="532"/>
      <c r="B429" s="39"/>
      <c r="C429" s="1013"/>
      <c r="D429" s="533"/>
      <c r="E429" s="534"/>
      <c r="F429" s="534"/>
      <c r="G429" s="534"/>
      <c r="H429" s="535"/>
    </row>
    <row r="430" spans="1:8" s="29" customFormat="1" ht="24.75" customHeight="1">
      <c r="A430" s="1014"/>
      <c r="B430" s="39"/>
      <c r="C430" s="1013"/>
      <c r="D430" s="1010"/>
      <c r="E430" s="1015"/>
      <c r="F430" s="1015"/>
      <c r="G430" s="1015"/>
      <c r="H430" s="535"/>
    </row>
    <row r="431" spans="1:8" s="29" customFormat="1" ht="24.75" customHeight="1" thickBot="1">
      <c r="A431" s="337"/>
      <c r="B431" s="338"/>
      <c r="C431" s="338"/>
      <c r="D431" s="353" t="s">
        <v>476</v>
      </c>
      <c r="E431" s="436" t="s">
        <v>1091</v>
      </c>
      <c r="F431" s="339" t="s">
        <v>438</v>
      </c>
      <c r="G431" s="354">
        <v>11</v>
      </c>
      <c r="H431" s="340"/>
    </row>
    <row r="432" spans="1:8" s="29" customFormat="1" ht="24.75" customHeight="1">
      <c r="A432" s="1024" t="s">
        <v>436</v>
      </c>
      <c r="B432" s="1025">
        <v>28</v>
      </c>
      <c r="C432" s="624" t="s">
        <v>442</v>
      </c>
      <c r="D432" s="1026" t="s">
        <v>1044</v>
      </c>
      <c r="E432" s="1027"/>
      <c r="F432" s="1028"/>
      <c r="G432" s="1029" t="s">
        <v>468</v>
      </c>
      <c r="H432" s="1030" t="s">
        <v>1042</v>
      </c>
    </row>
    <row r="433" spans="1:8" s="29" customFormat="1" ht="24.75" customHeight="1">
      <c r="A433" s="999" t="s">
        <v>1014</v>
      </c>
      <c r="B433" s="1049"/>
      <c r="C433" s="50" t="s">
        <v>469</v>
      </c>
      <c r="D433" s="50" t="s">
        <v>470</v>
      </c>
      <c r="E433" s="38" t="s">
        <v>471</v>
      </c>
      <c r="F433" s="38" t="s">
        <v>472</v>
      </c>
      <c r="G433" s="38" t="s">
        <v>473</v>
      </c>
      <c r="H433" s="51" t="s">
        <v>474</v>
      </c>
    </row>
    <row r="434" spans="1:8" s="29" customFormat="1" ht="24.75" customHeight="1">
      <c r="A434" s="1564" t="s">
        <v>1083</v>
      </c>
      <c r="B434" s="1565"/>
      <c r="C434" s="276"/>
      <c r="D434" s="40" t="s">
        <v>413</v>
      </c>
      <c r="E434" s="330">
        <v>100</v>
      </c>
      <c r="F434" s="330">
        <v>9.6</v>
      </c>
      <c r="G434" s="330">
        <v>960</v>
      </c>
      <c r="H434" s="46"/>
    </row>
    <row r="435" spans="1:8" s="29" customFormat="1" ht="24.75" customHeight="1">
      <c r="A435" s="1564" t="s">
        <v>1084</v>
      </c>
      <c r="B435" s="1565"/>
      <c r="C435" s="276"/>
      <c r="D435" s="40" t="s">
        <v>467</v>
      </c>
      <c r="E435" s="330">
        <v>0.13</v>
      </c>
      <c r="F435" s="331">
        <v>800</v>
      </c>
      <c r="G435" s="330">
        <v>104</v>
      </c>
      <c r="H435" s="46"/>
    </row>
    <row r="436" spans="1:8" s="29" customFormat="1" ht="24.75" customHeight="1">
      <c r="A436" s="1564" t="s">
        <v>1081</v>
      </c>
      <c r="B436" s="1565"/>
      <c r="C436" s="901"/>
      <c r="D436" s="40" t="s">
        <v>467</v>
      </c>
      <c r="E436" s="330">
        <v>0.26</v>
      </c>
      <c r="F436" s="330">
        <v>700</v>
      </c>
      <c r="G436" s="330">
        <v>182</v>
      </c>
      <c r="H436" s="46"/>
    </row>
    <row r="437" spans="1:8" s="29" customFormat="1" ht="24.75" customHeight="1">
      <c r="A437" s="1564" t="s">
        <v>1085</v>
      </c>
      <c r="B437" s="1565"/>
      <c r="C437" s="325" t="s">
        <v>1045</v>
      </c>
      <c r="D437" s="40" t="s">
        <v>414</v>
      </c>
      <c r="E437" s="330">
        <v>1</v>
      </c>
      <c r="F437" s="330" t="s">
        <v>475</v>
      </c>
      <c r="G437" s="330">
        <v>54</v>
      </c>
      <c r="H437" s="46"/>
    </row>
    <row r="438" spans="1:8" s="29" customFormat="1" ht="24.75" customHeight="1">
      <c r="A438" s="1564" t="s">
        <v>1039</v>
      </c>
      <c r="B438" s="1565"/>
      <c r="C438" s="351"/>
      <c r="D438" s="40"/>
      <c r="E438" s="330"/>
      <c r="F438" s="331"/>
      <c r="G438" s="233" t="s">
        <v>1046</v>
      </c>
      <c r="H438" s="46"/>
    </row>
    <row r="439" spans="1:8" s="29" customFormat="1" ht="24.75" customHeight="1">
      <c r="A439" s="328"/>
      <c r="B439" s="333"/>
      <c r="C439" s="351"/>
      <c r="D439" s="40"/>
      <c r="E439" s="330"/>
      <c r="F439" s="330"/>
      <c r="G439" s="330"/>
      <c r="H439" s="46"/>
    </row>
    <row r="440" spans="1:8" s="29" customFormat="1" ht="24.75" customHeight="1">
      <c r="A440" s="328"/>
      <c r="B440" s="333"/>
      <c r="C440" s="351"/>
      <c r="D440" s="40"/>
      <c r="E440" s="330"/>
      <c r="F440" s="330"/>
      <c r="G440" s="330"/>
      <c r="H440" s="46"/>
    </row>
    <row r="441" spans="1:8" s="29" customFormat="1" ht="24.75" customHeight="1">
      <c r="A441" s="1016"/>
      <c r="B441" s="1011"/>
      <c r="C441" s="1012"/>
      <c r="D441" s="533"/>
      <c r="E441" s="767"/>
      <c r="F441" s="767"/>
      <c r="G441" s="767"/>
      <c r="H441" s="527"/>
    </row>
    <row r="442" spans="1:8" s="29" customFormat="1" ht="24.75" customHeight="1">
      <c r="A442" s="1014"/>
      <c r="B442" s="39"/>
      <c r="C442" s="1013"/>
      <c r="D442" s="1010"/>
      <c r="E442" s="1015"/>
      <c r="F442" s="1015"/>
      <c r="G442" s="1015"/>
      <c r="H442" s="1017"/>
    </row>
    <row r="443" spans="1:8" s="29" customFormat="1" ht="24.75" customHeight="1" thickBot="1">
      <c r="A443" s="337"/>
      <c r="B443" s="338"/>
      <c r="C443" s="338"/>
      <c r="D443" s="988" t="s">
        <v>476</v>
      </c>
      <c r="E443" s="436" t="s">
        <v>1092</v>
      </c>
      <c r="F443" s="339" t="s">
        <v>438</v>
      </c>
      <c r="G443" s="354">
        <v>13</v>
      </c>
      <c r="H443" s="520"/>
    </row>
    <row r="444" spans="1:8" ht="24.75" customHeight="1">
      <c r="A444" s="227"/>
      <c r="B444" s="29"/>
      <c r="C444" s="227"/>
      <c r="D444" s="227"/>
      <c r="E444" s="227"/>
      <c r="F444" s="227"/>
      <c r="G444" s="227"/>
      <c r="H444" s="227"/>
    </row>
    <row r="445" spans="1:8" ht="24.75" customHeight="1">
      <c r="A445" s="29" t="s">
        <v>457</v>
      </c>
      <c r="B445" s="29"/>
      <c r="C445" s="29"/>
      <c r="D445" s="29"/>
      <c r="E445" s="29" t="s">
        <v>458</v>
      </c>
      <c r="F445" s="29"/>
      <c r="G445" s="29"/>
      <c r="H445" s="29"/>
    </row>
    <row r="446" spans="1:8" ht="24.75" customHeight="1">
      <c r="A446" s="238" t="str">
        <f>A414</f>
        <v>經濟部水利署第十河川局</v>
      </c>
      <c r="B446" s="430"/>
      <c r="C446" s="430"/>
      <c r="D446" s="430"/>
      <c r="E446" s="430"/>
      <c r="F446" s="430"/>
      <c r="G446" s="430"/>
      <c r="H446" s="430"/>
    </row>
    <row r="447" spans="1:8" ht="24.75" customHeight="1">
      <c r="A447" s="239" t="str">
        <f>A415</f>
        <v>單  價  分  析  表</v>
      </c>
      <c r="B447" s="430"/>
      <c r="C447" s="430"/>
      <c r="D447" s="430"/>
      <c r="E447" s="430"/>
      <c r="F447" s="430"/>
      <c r="G447" s="430"/>
      <c r="H447" s="430"/>
    </row>
    <row r="448" spans="1:8" ht="24.75" customHeight="1">
      <c r="A448" s="1510" t="str">
        <f>A416</f>
        <v>工程名稱:基隆河整體治理計劃（前期計劃）瑞芳區塊介壽橋下游左右岸護岸工程</v>
      </c>
      <c r="B448" s="1510"/>
      <c r="C448" s="1510"/>
      <c r="D448" s="1510"/>
      <c r="E448" s="1510"/>
      <c r="F448" s="1510"/>
      <c r="G448" s="1510"/>
      <c r="H448" s="253" t="s">
        <v>1065</v>
      </c>
    </row>
    <row r="449" spans="1:8" ht="24.75" customHeight="1" thickBot="1">
      <c r="A449" s="1545" t="str">
        <f>A417</f>
        <v>施工地點：台北縣瑞芳鎮</v>
      </c>
      <c r="B449" s="1545"/>
      <c r="C449" s="1545"/>
      <c r="D449" s="1545"/>
      <c r="E449" s="431"/>
      <c r="F449" s="431"/>
      <c r="G449" s="1546" t="s">
        <v>17</v>
      </c>
      <c r="H449" s="1546"/>
    </row>
    <row r="450" spans="1:8" s="29" customFormat="1" ht="24.75" customHeight="1">
      <c r="A450" s="394" t="s">
        <v>436</v>
      </c>
      <c r="B450" s="395">
        <v>29</v>
      </c>
      <c r="C450" s="624" t="s">
        <v>442</v>
      </c>
      <c r="D450" s="396" t="s">
        <v>1047</v>
      </c>
      <c r="E450" s="396"/>
      <c r="F450" s="397"/>
      <c r="G450" s="1052" t="s">
        <v>468</v>
      </c>
      <c r="H450" s="1053" t="s">
        <v>1042</v>
      </c>
    </row>
    <row r="451" spans="1:8" s="29" customFormat="1" ht="24.75" customHeight="1">
      <c r="A451" s="999" t="s">
        <v>559</v>
      </c>
      <c r="B451" s="1049"/>
      <c r="C451" s="50" t="s">
        <v>469</v>
      </c>
      <c r="D451" s="50" t="s">
        <v>470</v>
      </c>
      <c r="E451" s="38" t="s">
        <v>471</v>
      </c>
      <c r="F451" s="38" t="s">
        <v>472</v>
      </c>
      <c r="G451" s="38" t="s">
        <v>473</v>
      </c>
      <c r="H451" s="51" t="s">
        <v>474</v>
      </c>
    </row>
    <row r="452" spans="1:8" s="29" customFormat="1" ht="24.75" customHeight="1">
      <c r="A452" s="1564" t="s">
        <v>1086</v>
      </c>
      <c r="B452" s="1565"/>
      <c r="C452" s="329" t="s">
        <v>1048</v>
      </c>
      <c r="D452" s="40" t="s">
        <v>413</v>
      </c>
      <c r="E452" s="935">
        <v>100</v>
      </c>
      <c r="F452" s="330">
        <v>9.6</v>
      </c>
      <c r="G452" s="330">
        <v>960</v>
      </c>
      <c r="H452" s="46"/>
    </row>
    <row r="453" spans="1:8" s="29" customFormat="1" ht="24.75" customHeight="1">
      <c r="A453" s="1564" t="s">
        <v>1084</v>
      </c>
      <c r="B453" s="1565"/>
      <c r="C453" s="276"/>
      <c r="D453" s="40" t="s">
        <v>467</v>
      </c>
      <c r="E453" s="935">
        <v>0.13</v>
      </c>
      <c r="F453" s="330">
        <v>800</v>
      </c>
      <c r="G453" s="330">
        <v>104</v>
      </c>
      <c r="H453" s="46"/>
    </row>
    <row r="454" spans="1:8" s="29" customFormat="1" ht="24.75" customHeight="1">
      <c r="A454" s="1564" t="s">
        <v>1081</v>
      </c>
      <c r="B454" s="1565"/>
      <c r="C454" s="276"/>
      <c r="D454" s="40" t="s">
        <v>467</v>
      </c>
      <c r="E454" s="935">
        <v>0.26</v>
      </c>
      <c r="F454" s="331">
        <v>700</v>
      </c>
      <c r="G454" s="330">
        <v>182</v>
      </c>
      <c r="H454" s="46"/>
    </row>
    <row r="455" spans="1:8" s="29" customFormat="1" ht="24.75" customHeight="1">
      <c r="A455" s="1564" t="s">
        <v>1085</v>
      </c>
      <c r="B455" s="1565"/>
      <c r="C455" s="276" t="s">
        <v>1045</v>
      </c>
      <c r="D455" s="40" t="s">
        <v>414</v>
      </c>
      <c r="E455" s="330">
        <v>1</v>
      </c>
      <c r="F455" s="330" t="s">
        <v>475</v>
      </c>
      <c r="G455" s="330">
        <v>54</v>
      </c>
      <c r="H455" s="46"/>
    </row>
    <row r="456" spans="1:8" s="29" customFormat="1" ht="24.75" customHeight="1">
      <c r="A456" s="1564" t="s">
        <v>1039</v>
      </c>
      <c r="B456" s="1565"/>
      <c r="C456" s="347"/>
      <c r="D456" s="40" t="s">
        <v>1049</v>
      </c>
      <c r="E456" s="330"/>
      <c r="F456" s="330"/>
      <c r="G456" s="233" t="s">
        <v>1046</v>
      </c>
      <c r="H456" s="46"/>
    </row>
    <row r="457" spans="1:8" s="29" customFormat="1" ht="24.75" customHeight="1">
      <c r="A457" s="328"/>
      <c r="B457" s="433"/>
      <c r="C457" s="347"/>
      <c r="D457" s="40"/>
      <c r="E457" s="330"/>
      <c r="F457" s="330"/>
      <c r="G457" s="233"/>
      <c r="H457" s="46"/>
    </row>
    <row r="458" spans="1:8" s="29" customFormat="1" ht="24.75" customHeight="1">
      <c r="A458" s="328"/>
      <c r="B458" s="433"/>
      <c r="C458" s="347"/>
      <c r="D458" s="40"/>
      <c r="E458" s="330"/>
      <c r="F458" s="330"/>
      <c r="G458" s="233"/>
      <c r="H458" s="46"/>
    </row>
    <row r="459" spans="1:8" s="29" customFormat="1" ht="24.75" customHeight="1">
      <c r="A459" s="328"/>
      <c r="B459" s="433"/>
      <c r="C459" s="347"/>
      <c r="D459" s="40"/>
      <c r="E459" s="330"/>
      <c r="F459" s="330"/>
      <c r="G459" s="233"/>
      <c r="H459" s="46"/>
    </row>
    <row r="460" spans="1:8" s="29" customFormat="1" ht="24.75" customHeight="1" thickBot="1">
      <c r="A460" s="337"/>
      <c r="B460" s="338"/>
      <c r="C460" s="338"/>
      <c r="D460" s="353" t="s">
        <v>476</v>
      </c>
      <c r="E460" s="1019" t="s">
        <v>1019</v>
      </c>
      <c r="F460" s="339" t="s">
        <v>438</v>
      </c>
      <c r="G460" s="1054">
        <v>13</v>
      </c>
      <c r="H460" s="340"/>
    </row>
    <row r="461" spans="1:8" s="29" customFormat="1" ht="24.75" customHeight="1">
      <c r="A461" s="1024" t="s">
        <v>436</v>
      </c>
      <c r="B461" s="1025">
        <v>30</v>
      </c>
      <c r="C461" s="624" t="s">
        <v>442</v>
      </c>
      <c r="D461" s="1026" t="s">
        <v>1050</v>
      </c>
      <c r="E461" s="1027"/>
      <c r="F461" s="1028"/>
      <c r="G461" s="1055" t="s">
        <v>468</v>
      </c>
      <c r="H461" s="1056" t="s">
        <v>884</v>
      </c>
    </row>
    <row r="462" spans="1:8" s="29" customFormat="1" ht="24.75" customHeight="1">
      <c r="A462" s="999" t="s">
        <v>1014</v>
      </c>
      <c r="B462" s="1049"/>
      <c r="C462" s="1057" t="s">
        <v>469</v>
      </c>
      <c r="D462" s="1057" t="s">
        <v>470</v>
      </c>
      <c r="E462" s="1058" t="s">
        <v>471</v>
      </c>
      <c r="F462" s="1058" t="s">
        <v>472</v>
      </c>
      <c r="G462" s="1058" t="s">
        <v>473</v>
      </c>
      <c r="H462" s="51" t="s">
        <v>474</v>
      </c>
    </row>
    <row r="463" spans="1:8" s="29" customFormat="1" ht="24.75" customHeight="1">
      <c r="A463" s="1564" t="s">
        <v>1096</v>
      </c>
      <c r="B463" s="1565"/>
      <c r="C463" s="1059" t="s">
        <v>1051</v>
      </c>
      <c r="D463" s="1060" t="s">
        <v>413</v>
      </c>
      <c r="E463" s="1061">
        <v>55</v>
      </c>
      <c r="F463" s="1061">
        <v>10</v>
      </c>
      <c r="G463" s="1061">
        <v>550</v>
      </c>
      <c r="H463" s="46"/>
    </row>
    <row r="464" spans="1:8" s="29" customFormat="1" ht="24.75" customHeight="1">
      <c r="A464" s="1564" t="s">
        <v>1097</v>
      </c>
      <c r="B464" s="1565"/>
      <c r="C464" s="1059"/>
      <c r="D464" s="1060" t="s">
        <v>413</v>
      </c>
      <c r="E464" s="1061">
        <v>0.17</v>
      </c>
      <c r="F464" s="1062">
        <v>60</v>
      </c>
      <c r="G464" s="1061">
        <v>10.2</v>
      </c>
      <c r="H464" s="46"/>
    </row>
    <row r="465" spans="1:8" s="29" customFormat="1" ht="24.75" customHeight="1">
      <c r="A465" s="1564" t="s">
        <v>1098</v>
      </c>
      <c r="B465" s="1565"/>
      <c r="C465" s="1063"/>
      <c r="D465" s="1060" t="s">
        <v>413</v>
      </c>
      <c r="E465" s="1061">
        <v>30</v>
      </c>
      <c r="F465" s="1061">
        <v>0.7</v>
      </c>
      <c r="G465" s="1061">
        <v>21</v>
      </c>
      <c r="H465" s="46"/>
    </row>
    <row r="466" spans="1:8" s="29" customFormat="1" ht="24.75" customHeight="1">
      <c r="A466" s="1564" t="s">
        <v>1099</v>
      </c>
      <c r="B466" s="1565"/>
      <c r="C466" s="1064"/>
      <c r="D466" s="1065" t="s">
        <v>1093</v>
      </c>
      <c r="E466" s="1061">
        <v>0.14</v>
      </c>
      <c r="F466" s="1061">
        <v>650</v>
      </c>
      <c r="G466" s="1061">
        <v>91</v>
      </c>
      <c r="H466" s="46"/>
    </row>
    <row r="467" spans="1:8" s="29" customFormat="1" ht="24.75" customHeight="1">
      <c r="A467" s="1564" t="s">
        <v>1100</v>
      </c>
      <c r="B467" s="1565"/>
      <c r="C467" s="1064"/>
      <c r="D467" s="1065" t="s">
        <v>1093</v>
      </c>
      <c r="E467" s="1061">
        <v>0.5</v>
      </c>
      <c r="F467" s="1062">
        <v>520</v>
      </c>
      <c r="G467" s="1061">
        <v>260</v>
      </c>
      <c r="H467" s="46"/>
    </row>
    <row r="468" spans="1:8" s="29" customFormat="1" ht="24.75" customHeight="1">
      <c r="A468" s="1564" t="s">
        <v>1101</v>
      </c>
      <c r="B468" s="1565"/>
      <c r="C468" s="1064"/>
      <c r="D468" s="1060" t="s">
        <v>1052</v>
      </c>
      <c r="E468" s="1061">
        <v>1</v>
      </c>
      <c r="F468" s="1061">
        <v>220</v>
      </c>
      <c r="G468" s="1061">
        <v>220</v>
      </c>
      <c r="H468" s="46"/>
    </row>
    <row r="469" spans="1:8" s="29" customFormat="1" ht="24.75" customHeight="1">
      <c r="A469" s="1564" t="s">
        <v>1102</v>
      </c>
      <c r="B469" s="1565"/>
      <c r="C469" s="1064"/>
      <c r="D469" s="1060" t="s">
        <v>1052</v>
      </c>
      <c r="E469" s="1061">
        <v>1</v>
      </c>
      <c r="F469" s="1061">
        <v>50</v>
      </c>
      <c r="G469" s="1061">
        <v>50</v>
      </c>
      <c r="H469" s="46"/>
    </row>
    <row r="470" spans="1:8" s="29" customFormat="1" ht="24.75" customHeight="1">
      <c r="A470" s="1564" t="s">
        <v>1103</v>
      </c>
      <c r="B470" s="1565"/>
      <c r="C470" s="1064" t="s">
        <v>1053</v>
      </c>
      <c r="D470" s="1060" t="s">
        <v>1052</v>
      </c>
      <c r="E470" s="1061">
        <v>1</v>
      </c>
      <c r="F470" s="1061">
        <v>92</v>
      </c>
      <c r="G470" s="1061">
        <v>92</v>
      </c>
      <c r="H470" s="209"/>
    </row>
    <row r="471" spans="1:8" s="29" customFormat="1" ht="24.75" customHeight="1">
      <c r="A471" s="1564" t="s">
        <v>1104</v>
      </c>
      <c r="B471" s="1565"/>
      <c r="C471" s="1066"/>
      <c r="D471" s="1060" t="s">
        <v>414</v>
      </c>
      <c r="E471" s="1061">
        <v>1</v>
      </c>
      <c r="F471" s="1061" t="s">
        <v>475</v>
      </c>
      <c r="G471" s="1061">
        <v>15.8</v>
      </c>
      <c r="H471" s="209"/>
    </row>
    <row r="472" spans="1:8" s="29" customFormat="1" ht="24.75" customHeight="1">
      <c r="A472" s="1564" t="s">
        <v>1039</v>
      </c>
      <c r="B472" s="1565"/>
      <c r="C472" s="1067"/>
      <c r="D472" s="1067"/>
      <c r="E472" s="1067"/>
      <c r="F472" s="1067"/>
      <c r="G472" s="1068">
        <f>SUM(G463:G471)</f>
        <v>1310</v>
      </c>
      <c r="H472" s="1069"/>
    </row>
    <row r="473" spans="1:8" s="29" customFormat="1" ht="24.75" customHeight="1">
      <c r="A473" s="1070" t="s">
        <v>1054</v>
      </c>
      <c r="B473" s="433"/>
      <c r="C473" s="1071" t="s">
        <v>1094</v>
      </c>
      <c r="D473" s="1072"/>
      <c r="E473" s="1073"/>
      <c r="F473" s="1072"/>
      <c r="G473" s="1072"/>
      <c r="H473" s="46"/>
    </row>
    <row r="474" spans="1:8" s="29" customFormat="1" ht="24.75" customHeight="1">
      <c r="A474" s="1070" t="s">
        <v>1055</v>
      </c>
      <c r="B474" s="433"/>
      <c r="C474" s="1071" t="s">
        <v>1056</v>
      </c>
      <c r="D474" s="1072"/>
      <c r="E474" s="1073"/>
      <c r="F474" s="1072"/>
      <c r="G474" s="1072"/>
      <c r="H474" s="209"/>
    </row>
    <row r="475" spans="1:8" s="29" customFormat="1" ht="24.75" customHeight="1" thickBot="1">
      <c r="A475" s="1033"/>
      <c r="B475" s="1034"/>
      <c r="C475" s="1034"/>
      <c r="D475" s="1074" t="s">
        <v>1095</v>
      </c>
      <c r="E475" s="1075"/>
      <c r="F475" s="1036" t="s">
        <v>438</v>
      </c>
      <c r="G475" s="1076">
        <v>462</v>
      </c>
      <c r="H475" s="1077"/>
    </row>
    <row r="476" spans="1:8" ht="24.75" customHeight="1">
      <c r="A476" s="227"/>
      <c r="B476" s="29"/>
      <c r="C476" s="227"/>
      <c r="D476" s="227"/>
      <c r="E476" s="227"/>
      <c r="F476" s="227"/>
      <c r="G476" s="227"/>
      <c r="H476" s="227"/>
    </row>
    <row r="477" spans="1:8" ht="24.75" customHeight="1">
      <c r="A477" s="29" t="s">
        <v>457</v>
      </c>
      <c r="B477" s="29"/>
      <c r="C477" s="29"/>
      <c r="D477" s="29"/>
      <c r="E477" s="29" t="s">
        <v>458</v>
      </c>
      <c r="F477" s="29"/>
      <c r="G477" s="29"/>
      <c r="H477" s="29"/>
    </row>
    <row r="478" spans="1:8" ht="24.75" customHeight="1">
      <c r="A478" s="238" t="str">
        <f>A446</f>
        <v>經濟部水利署第十河川局</v>
      </c>
      <c r="B478" s="430"/>
      <c r="C478" s="430"/>
      <c r="D478" s="430"/>
      <c r="E478" s="430"/>
      <c r="F478" s="430"/>
      <c r="G478" s="430"/>
      <c r="H478" s="430"/>
    </row>
    <row r="479" spans="1:8" ht="24.75" customHeight="1">
      <c r="A479" s="239" t="str">
        <f>A447</f>
        <v>單  價  分  析  表</v>
      </c>
      <c r="B479" s="430"/>
      <c r="C479" s="430"/>
      <c r="D479" s="430"/>
      <c r="E479" s="430"/>
      <c r="F479" s="430"/>
      <c r="G479" s="430"/>
      <c r="H479" s="430"/>
    </row>
    <row r="480" spans="1:8" ht="24.75" customHeight="1">
      <c r="A480" s="1510" t="str">
        <f>A448</f>
        <v>工程名稱:基隆河整體治理計劃（前期計劃）瑞芳區塊介壽橋下游左右岸護岸工程</v>
      </c>
      <c r="B480" s="1510"/>
      <c r="C480" s="1510"/>
      <c r="D480" s="1510"/>
      <c r="E480" s="1510"/>
      <c r="F480" s="1510"/>
      <c r="G480" s="1510"/>
      <c r="H480" s="253" t="s">
        <v>1065</v>
      </c>
    </row>
    <row r="481" spans="1:8" ht="24.75" customHeight="1" thickBot="1">
      <c r="A481" s="1545" t="str">
        <f>A449</f>
        <v>施工地點：台北縣瑞芳鎮</v>
      </c>
      <c r="B481" s="1545"/>
      <c r="C481" s="1545"/>
      <c r="D481" s="1545"/>
      <c r="E481" s="431"/>
      <c r="F481" s="431"/>
      <c r="G481" s="1546" t="s">
        <v>16</v>
      </c>
      <c r="H481" s="1546"/>
    </row>
    <row r="482" spans="1:8" s="29" customFormat="1" ht="24.75" customHeight="1">
      <c r="A482" s="341" t="s">
        <v>436</v>
      </c>
      <c r="B482" s="342">
        <v>31</v>
      </c>
      <c r="C482" s="624" t="s">
        <v>442</v>
      </c>
      <c r="D482" s="1569" t="s">
        <v>1057</v>
      </c>
      <c r="E482" s="1574"/>
      <c r="F482" s="1575"/>
      <c r="G482" s="52" t="s">
        <v>468</v>
      </c>
      <c r="H482" s="965" t="s">
        <v>985</v>
      </c>
    </row>
    <row r="483" spans="1:8" s="29" customFormat="1" ht="24.75" customHeight="1">
      <c r="A483" s="999" t="s">
        <v>1058</v>
      </c>
      <c r="B483" s="1049"/>
      <c r="C483" s="50" t="s">
        <v>469</v>
      </c>
      <c r="D483" s="50" t="s">
        <v>470</v>
      </c>
      <c r="E483" s="38" t="s">
        <v>471</v>
      </c>
      <c r="F483" s="38" t="s">
        <v>472</v>
      </c>
      <c r="G483" s="38" t="s">
        <v>473</v>
      </c>
      <c r="H483" s="51" t="s">
        <v>474</v>
      </c>
    </row>
    <row r="484" spans="1:8" s="29" customFormat="1" ht="24.75" customHeight="1">
      <c r="A484" s="1564" t="s">
        <v>158</v>
      </c>
      <c r="B484" s="1565"/>
      <c r="C484" s="1491" t="s">
        <v>40</v>
      </c>
      <c r="D484" s="40" t="s">
        <v>884</v>
      </c>
      <c r="E484" s="1136">
        <f>0.2*0.4</f>
        <v>0.08</v>
      </c>
      <c r="F484" s="983">
        <f>G17</f>
        <v>1910</v>
      </c>
      <c r="G484" s="983">
        <f>E484*F484</f>
        <v>152.8</v>
      </c>
      <c r="H484" s="1083" t="s">
        <v>1111</v>
      </c>
    </row>
    <row r="485" spans="1:8" s="29" customFormat="1" ht="24.75" customHeight="1">
      <c r="A485" s="1564" t="s">
        <v>1105</v>
      </c>
      <c r="B485" s="1565"/>
      <c r="C485" s="1078"/>
      <c r="D485" s="40" t="s">
        <v>884</v>
      </c>
      <c r="E485" s="983">
        <v>1</v>
      </c>
      <c r="F485" s="1079">
        <v>270</v>
      </c>
      <c r="G485" s="983">
        <f>E485*F485</f>
        <v>270</v>
      </c>
      <c r="H485" s="1083" t="s">
        <v>1110</v>
      </c>
    </row>
    <row r="486" spans="1:8" s="29" customFormat="1" ht="24.75" customHeight="1">
      <c r="A486" s="1564" t="s">
        <v>1106</v>
      </c>
      <c r="B486" s="1565"/>
      <c r="C486" s="1080" t="s">
        <v>1059</v>
      </c>
      <c r="D486" s="40" t="s">
        <v>884</v>
      </c>
      <c r="E486" s="982">
        <v>0.003</v>
      </c>
      <c r="F486" s="983">
        <f>G46</f>
        <v>2450</v>
      </c>
      <c r="G486" s="983">
        <f>E486*F486</f>
        <v>7.35</v>
      </c>
      <c r="H486" s="1083" t="s">
        <v>1112</v>
      </c>
    </row>
    <row r="487" spans="1:8" s="29" customFormat="1" ht="24.75" customHeight="1">
      <c r="A487" s="1564" t="s">
        <v>1107</v>
      </c>
      <c r="B487" s="1565"/>
      <c r="C487" s="1081" t="s">
        <v>1060</v>
      </c>
      <c r="D487" s="986" t="s">
        <v>413</v>
      </c>
      <c r="E487" s="983">
        <v>4.36</v>
      </c>
      <c r="F487" s="983">
        <v>11</v>
      </c>
      <c r="G487" s="983">
        <f>E487*F487</f>
        <v>47.96</v>
      </c>
      <c r="H487" s="1084" t="s">
        <v>1061</v>
      </c>
    </row>
    <row r="488" spans="1:8" s="29" customFormat="1" ht="24.75" customHeight="1">
      <c r="A488" s="1564" t="s">
        <v>1108</v>
      </c>
      <c r="B488" s="1565"/>
      <c r="C488" s="1080" t="s">
        <v>1062</v>
      </c>
      <c r="D488" s="40" t="s">
        <v>884</v>
      </c>
      <c r="E488" s="991">
        <v>1</v>
      </c>
      <c r="F488" s="991">
        <v>120</v>
      </c>
      <c r="G488" s="983">
        <f>E488*F488</f>
        <v>120</v>
      </c>
      <c r="H488" s="1085"/>
    </row>
    <row r="489" spans="1:8" s="29" customFormat="1" ht="24.75" customHeight="1">
      <c r="A489" s="1564" t="s">
        <v>1109</v>
      </c>
      <c r="B489" s="1565"/>
      <c r="C489" s="1081" t="s">
        <v>1063</v>
      </c>
      <c r="D489" s="986" t="s">
        <v>414</v>
      </c>
      <c r="E489" s="983">
        <v>1</v>
      </c>
      <c r="F489" s="983" t="s">
        <v>475</v>
      </c>
      <c r="G489" s="983">
        <v>16.89</v>
      </c>
      <c r="H489" s="1018"/>
    </row>
    <row r="490" spans="1:8" s="29" customFormat="1" ht="24.75" customHeight="1">
      <c r="A490" s="1564" t="s">
        <v>1039</v>
      </c>
      <c r="B490" s="1565"/>
      <c r="C490" s="985"/>
      <c r="D490" s="986"/>
      <c r="E490" s="983"/>
      <c r="F490" s="983"/>
      <c r="G490" s="983">
        <f>SUM(G484:G489)</f>
        <v>615</v>
      </c>
      <c r="H490" s="527"/>
    </row>
    <row r="491" spans="1:8" s="29" customFormat="1" ht="24.75" customHeight="1">
      <c r="A491" s="328"/>
      <c r="B491" s="333"/>
      <c r="C491" s="351"/>
      <c r="D491" s="40"/>
      <c r="E491" s="330"/>
      <c r="F491" s="330"/>
      <c r="G491" s="330"/>
      <c r="H491" s="209"/>
    </row>
    <row r="492" spans="1:8" s="29" customFormat="1" ht="24.75" customHeight="1">
      <c r="A492" s="328"/>
      <c r="B492" s="333"/>
      <c r="C492" s="335"/>
      <c r="D492" s="40"/>
      <c r="E492" s="330"/>
      <c r="F492" s="330"/>
      <c r="G492" s="330"/>
      <c r="H492" s="987"/>
    </row>
    <row r="493" spans="1:8" s="29" customFormat="1" ht="24.75" customHeight="1">
      <c r="A493" s="327"/>
      <c r="B493" s="333"/>
      <c r="C493" s="335"/>
      <c r="D493" s="50"/>
      <c r="E493" s="336"/>
      <c r="F493" s="336"/>
      <c r="G493" s="336"/>
      <c r="H493" s="987"/>
    </row>
    <row r="494" spans="1:8" s="29" customFormat="1" ht="24.75" customHeight="1" thickBot="1">
      <c r="A494" s="337"/>
      <c r="B494" s="338"/>
      <c r="C494" s="338"/>
      <c r="D494" s="988"/>
      <c r="E494" s="1082" t="s">
        <v>1064</v>
      </c>
      <c r="F494" s="339" t="s">
        <v>438</v>
      </c>
      <c r="G494" s="354">
        <f>G490</f>
        <v>615</v>
      </c>
      <c r="H494" s="340"/>
    </row>
    <row r="495" spans="1:8" s="29" customFormat="1" ht="24.75" customHeight="1">
      <c r="A495" s="591" t="s">
        <v>565</v>
      </c>
      <c r="B495" s="540">
        <v>32</v>
      </c>
      <c r="C495" s="1121" t="s">
        <v>442</v>
      </c>
      <c r="D495" s="1615" t="s">
        <v>175</v>
      </c>
      <c r="E495" s="1616"/>
      <c r="F495" s="1617"/>
      <c r="G495" s="625" t="s">
        <v>1166</v>
      </c>
      <c r="H495" s="1122" t="s">
        <v>1167</v>
      </c>
    </row>
    <row r="496" spans="1:8" s="29" customFormat="1" ht="24.75" customHeight="1">
      <c r="A496" s="1564" t="s">
        <v>1168</v>
      </c>
      <c r="B496" s="1565"/>
      <c r="C496" s="1022" t="s">
        <v>469</v>
      </c>
      <c r="D496" s="1022" t="s">
        <v>470</v>
      </c>
      <c r="E496" s="1123" t="s">
        <v>471</v>
      </c>
      <c r="F496" s="1123" t="s">
        <v>472</v>
      </c>
      <c r="G496" s="1123" t="s">
        <v>1169</v>
      </c>
      <c r="H496" s="1124" t="s">
        <v>474</v>
      </c>
    </row>
    <row r="497" spans="1:8" s="29" customFormat="1" ht="24.75" customHeight="1">
      <c r="A497" s="1564" t="s">
        <v>1170</v>
      </c>
      <c r="B497" s="1565"/>
      <c r="C497" s="224" t="s">
        <v>1171</v>
      </c>
      <c r="D497" s="224" t="s">
        <v>456</v>
      </c>
      <c r="E497" s="1125">
        <v>1</v>
      </c>
      <c r="F497" s="637">
        <v>2500</v>
      </c>
      <c r="G497" s="1126">
        <f>SUM(E497*F497)</f>
        <v>2500</v>
      </c>
      <c r="H497" s="633"/>
    </row>
    <row r="498" spans="1:8" s="29" customFormat="1" ht="24.75" customHeight="1">
      <c r="A498" s="1589" t="s">
        <v>1172</v>
      </c>
      <c r="B498" s="1590"/>
      <c r="C498" s="224" t="s">
        <v>1173</v>
      </c>
      <c r="D498" s="224" t="s">
        <v>456</v>
      </c>
      <c r="E498" s="1125">
        <v>3</v>
      </c>
      <c r="F498" s="637">
        <v>1800</v>
      </c>
      <c r="G498" s="1126">
        <f>SUM(E498*F498)</f>
        <v>5400</v>
      </c>
      <c r="H498" s="633"/>
    </row>
    <row r="499" spans="1:8" s="29" customFormat="1" ht="24.75" customHeight="1">
      <c r="A499" s="1581" t="s">
        <v>1174</v>
      </c>
      <c r="B499" s="1565"/>
      <c r="C499" s="1127"/>
      <c r="D499" s="224" t="s">
        <v>1175</v>
      </c>
      <c r="E499" s="1125">
        <v>0.25</v>
      </c>
      <c r="F499" s="1128">
        <v>25</v>
      </c>
      <c r="G499" s="1126">
        <f>F499*E499</f>
        <v>6.25</v>
      </c>
      <c r="H499" s="633" t="s">
        <v>1176</v>
      </c>
    </row>
    <row r="500" spans="1:8" s="29" customFormat="1" ht="24.75" customHeight="1">
      <c r="A500" s="1589" t="s">
        <v>159</v>
      </c>
      <c r="B500" s="1590"/>
      <c r="C500" s="1389" t="s">
        <v>157</v>
      </c>
      <c r="D500" s="224" t="s">
        <v>1175</v>
      </c>
      <c r="E500" s="1125">
        <v>0.1</v>
      </c>
      <c r="F500" s="1126">
        <f>G17</f>
        <v>1910</v>
      </c>
      <c r="G500" s="1126">
        <f>F500*E500</f>
        <v>191</v>
      </c>
      <c r="H500" s="1129" t="s">
        <v>1177</v>
      </c>
    </row>
    <row r="501" spans="1:8" s="29" customFormat="1" ht="24.75" customHeight="1">
      <c r="A501" s="1589" t="s">
        <v>1178</v>
      </c>
      <c r="B501" s="1590"/>
      <c r="C501" s="1130"/>
      <c r="D501" s="224" t="s">
        <v>1175</v>
      </c>
      <c r="E501" s="1125">
        <v>0.1</v>
      </c>
      <c r="F501" s="1126">
        <v>2380</v>
      </c>
      <c r="G501" s="1126">
        <f>F501*E501</f>
        <v>238</v>
      </c>
      <c r="H501" s="1129" t="s">
        <v>161</v>
      </c>
    </row>
    <row r="502" spans="1:8" s="29" customFormat="1" ht="24.75" customHeight="1">
      <c r="A502" s="1587" t="s">
        <v>1179</v>
      </c>
      <c r="B502" s="1588"/>
      <c r="C502" s="1130"/>
      <c r="D502" s="224" t="s">
        <v>741</v>
      </c>
      <c r="E502" s="1125">
        <v>1</v>
      </c>
      <c r="F502" s="1126">
        <v>200</v>
      </c>
      <c r="G502" s="1126">
        <f>F502*E502</f>
        <v>200</v>
      </c>
      <c r="H502" s="633"/>
    </row>
    <row r="503" spans="1:8" s="29" customFormat="1" ht="24.75" customHeight="1">
      <c r="A503" s="1587" t="s">
        <v>1180</v>
      </c>
      <c r="B503" s="1588"/>
      <c r="C503" s="1130"/>
      <c r="D503" s="224" t="s">
        <v>1181</v>
      </c>
      <c r="E503" s="1125">
        <v>0.4</v>
      </c>
      <c r="F503" s="1126">
        <v>900</v>
      </c>
      <c r="G503" s="551">
        <f>SUM(E503*F503)</f>
        <v>360</v>
      </c>
      <c r="H503" s="633"/>
    </row>
    <row r="504" spans="1:8" s="29" customFormat="1" ht="24.75" customHeight="1">
      <c r="A504" s="1587" t="s">
        <v>825</v>
      </c>
      <c r="B504" s="1588"/>
      <c r="C504" s="557"/>
      <c r="D504" s="224" t="s">
        <v>741</v>
      </c>
      <c r="E504" s="1125">
        <v>1</v>
      </c>
      <c r="F504" s="1126">
        <v>104.75</v>
      </c>
      <c r="G504" s="551">
        <f>SUM(E504*F504)</f>
        <v>104.75</v>
      </c>
      <c r="H504" s="633"/>
    </row>
    <row r="505" spans="1:8" s="29" customFormat="1" ht="24.75" customHeight="1">
      <c r="A505" s="1587" t="s">
        <v>1182</v>
      </c>
      <c r="B505" s="1588"/>
      <c r="C505" s="1132"/>
      <c r="D505" s="1132"/>
      <c r="E505" s="1132"/>
      <c r="F505" s="1133"/>
      <c r="G505" s="1133">
        <f>SUM(G497:G504)</f>
        <v>9000</v>
      </c>
      <c r="H505" s="633"/>
    </row>
    <row r="506" spans="1:8" s="29" customFormat="1" ht="24.75" customHeight="1">
      <c r="A506" s="1589"/>
      <c r="B506" s="1590"/>
      <c r="C506" s="1130"/>
      <c r="D506" s="224"/>
      <c r="E506" s="1125"/>
      <c r="F506" s="1134"/>
      <c r="G506" s="551" t="s">
        <v>1183</v>
      </c>
      <c r="H506" s="633" t="s">
        <v>1184</v>
      </c>
    </row>
    <row r="507" spans="1:8" s="29" customFormat="1" ht="24.75" customHeight="1" thickBot="1">
      <c r="A507" s="575"/>
      <c r="B507" s="576"/>
      <c r="C507" s="576"/>
      <c r="D507" s="749" t="s">
        <v>601</v>
      </c>
      <c r="E507" s="1135" t="s">
        <v>1185</v>
      </c>
      <c r="F507" s="750" t="s">
        <v>438</v>
      </c>
      <c r="G507" s="577">
        <v>6000</v>
      </c>
      <c r="H507" s="578"/>
    </row>
    <row r="508" spans="1:8" ht="24.75" customHeight="1">
      <c r="A508" s="227"/>
      <c r="B508" s="29"/>
      <c r="C508" s="227"/>
      <c r="D508" s="227"/>
      <c r="E508" s="227"/>
      <c r="F508" s="227"/>
      <c r="G508" s="227"/>
      <c r="H508" s="227"/>
    </row>
    <row r="509" spans="1:8" ht="24.75" customHeight="1">
      <c r="A509" s="29" t="s">
        <v>457</v>
      </c>
      <c r="B509" s="29"/>
      <c r="C509" s="29"/>
      <c r="D509" s="29"/>
      <c r="E509" s="29" t="s">
        <v>458</v>
      </c>
      <c r="F509" s="29"/>
      <c r="G509" s="29"/>
      <c r="H509" s="29"/>
    </row>
    <row r="510" spans="1:8" ht="24.75" customHeight="1">
      <c r="A510" s="238" t="str">
        <f>A478</f>
        <v>經濟部水利署第十河川局</v>
      </c>
      <c r="B510" s="430"/>
      <c r="C510" s="430"/>
      <c r="D510" s="430"/>
      <c r="E510" s="430"/>
      <c r="F510" s="430"/>
      <c r="G510" s="430"/>
      <c r="H510" s="430"/>
    </row>
    <row r="511" spans="1:8" ht="24.75" customHeight="1">
      <c r="A511" s="239" t="str">
        <f>A479</f>
        <v>單  價  分  析  表</v>
      </c>
      <c r="B511" s="430"/>
      <c r="C511" s="430"/>
      <c r="D511" s="430"/>
      <c r="E511" s="430"/>
      <c r="F511" s="430"/>
      <c r="G511" s="430"/>
      <c r="H511" s="430"/>
    </row>
    <row r="512" spans="1:8" ht="24.75" customHeight="1">
      <c r="A512" s="1510" t="str">
        <f>A480</f>
        <v>工程名稱:基隆河整體治理計劃（前期計劃）瑞芳區塊介壽橋下游左右岸護岸工程</v>
      </c>
      <c r="B512" s="1510"/>
      <c r="C512" s="1510"/>
      <c r="D512" s="1510"/>
      <c r="E512" s="1510"/>
      <c r="F512" s="1510"/>
      <c r="G512" s="1510"/>
      <c r="H512" s="253" t="s">
        <v>1065</v>
      </c>
    </row>
    <row r="513" spans="1:8" ht="24.75" customHeight="1" thickBot="1">
      <c r="A513" s="1545" t="str">
        <f>A481</f>
        <v>施工地點：台北縣瑞芳鎮</v>
      </c>
      <c r="B513" s="1545"/>
      <c r="C513" s="1545"/>
      <c r="D513" s="1545"/>
      <c r="E513" s="431"/>
      <c r="F513" s="431"/>
      <c r="G513" s="1546" t="s">
        <v>15</v>
      </c>
      <c r="H513" s="1546"/>
    </row>
    <row r="514" spans="1:8" s="29" customFormat="1" ht="24.75" customHeight="1">
      <c r="A514" s="591" t="s">
        <v>565</v>
      </c>
      <c r="B514" s="540">
        <v>33</v>
      </c>
      <c r="C514" s="1121" t="s">
        <v>442</v>
      </c>
      <c r="D514" s="1615" t="s">
        <v>176</v>
      </c>
      <c r="E514" s="1616"/>
      <c r="F514" s="1617"/>
      <c r="G514" s="625" t="s">
        <v>1166</v>
      </c>
      <c r="H514" s="1122" t="s">
        <v>1167</v>
      </c>
    </row>
    <row r="515" spans="1:8" s="29" customFormat="1" ht="24.75" customHeight="1">
      <c r="A515" s="1564" t="s">
        <v>1168</v>
      </c>
      <c r="B515" s="1565"/>
      <c r="C515" s="1022" t="s">
        <v>469</v>
      </c>
      <c r="D515" s="1022" t="s">
        <v>470</v>
      </c>
      <c r="E515" s="1123" t="s">
        <v>471</v>
      </c>
      <c r="F515" s="1123" t="s">
        <v>472</v>
      </c>
      <c r="G515" s="1123" t="s">
        <v>1169</v>
      </c>
      <c r="H515" s="1124" t="s">
        <v>474</v>
      </c>
    </row>
    <row r="516" spans="1:8" s="29" customFormat="1" ht="24.75" customHeight="1">
      <c r="A516" s="1564" t="s">
        <v>1170</v>
      </c>
      <c r="B516" s="1565"/>
      <c r="C516" s="224" t="s">
        <v>1171</v>
      </c>
      <c r="D516" s="224" t="s">
        <v>456</v>
      </c>
      <c r="E516" s="1125">
        <v>1</v>
      </c>
      <c r="F516" s="637">
        <v>2500</v>
      </c>
      <c r="G516" s="1126">
        <f>SUM(E516*F516)</f>
        <v>2500</v>
      </c>
      <c r="H516" s="633"/>
    </row>
    <row r="517" spans="1:8" s="29" customFormat="1" ht="24.75" customHeight="1">
      <c r="A517" s="1589" t="s">
        <v>1172</v>
      </c>
      <c r="B517" s="1590"/>
      <c r="C517" s="224" t="s">
        <v>1173</v>
      </c>
      <c r="D517" s="224" t="s">
        <v>456</v>
      </c>
      <c r="E517" s="1125">
        <v>3</v>
      </c>
      <c r="F517" s="637">
        <v>1800</v>
      </c>
      <c r="G517" s="1126">
        <f>SUM(E517*F517)</f>
        <v>5400</v>
      </c>
      <c r="H517" s="633"/>
    </row>
    <row r="518" spans="1:8" s="29" customFormat="1" ht="24.75" customHeight="1">
      <c r="A518" s="1581" t="s">
        <v>1174</v>
      </c>
      <c r="B518" s="1565"/>
      <c r="C518" s="1127"/>
      <c r="D518" s="224" t="s">
        <v>1175</v>
      </c>
      <c r="E518" s="1125">
        <v>0.25</v>
      </c>
      <c r="F518" s="1128">
        <v>25</v>
      </c>
      <c r="G518" s="1126">
        <f>F518*E518</f>
        <v>6.25</v>
      </c>
      <c r="H518" s="633" t="s">
        <v>1176</v>
      </c>
    </row>
    <row r="519" spans="1:8" s="29" customFormat="1" ht="24.75" customHeight="1">
      <c r="A519" s="1589" t="s">
        <v>160</v>
      </c>
      <c r="B519" s="1590"/>
      <c r="C519" s="1389" t="s">
        <v>157</v>
      </c>
      <c r="D519" s="224" t="s">
        <v>1175</v>
      </c>
      <c r="E519" s="1125">
        <v>0.1</v>
      </c>
      <c r="F519" s="1126">
        <f>G17</f>
        <v>1910</v>
      </c>
      <c r="G519" s="1126">
        <f>F519*E519</f>
        <v>191</v>
      </c>
      <c r="H519" s="1129" t="s">
        <v>1177</v>
      </c>
    </row>
    <row r="520" spans="1:8" s="29" customFormat="1" ht="24.75" customHeight="1">
      <c r="A520" s="1589" t="s">
        <v>1178</v>
      </c>
      <c r="B520" s="1590"/>
      <c r="C520" s="1130"/>
      <c r="D520" s="224" t="s">
        <v>1175</v>
      </c>
      <c r="E520" s="1125">
        <v>0.1</v>
      </c>
      <c r="F520" s="1126">
        <v>2380</v>
      </c>
      <c r="G520" s="1126">
        <f>F520*E520</f>
        <v>238</v>
      </c>
      <c r="H520" s="1129" t="s">
        <v>161</v>
      </c>
    </row>
    <row r="521" spans="1:8" s="29" customFormat="1" ht="24.75" customHeight="1">
      <c r="A521" s="1587" t="s">
        <v>1179</v>
      </c>
      <c r="B521" s="1588"/>
      <c r="C521" s="1130"/>
      <c r="D521" s="224" t="s">
        <v>741</v>
      </c>
      <c r="E521" s="1131">
        <v>1</v>
      </c>
      <c r="F521" s="1126">
        <v>200</v>
      </c>
      <c r="G521" s="1126">
        <f>F521*E521</f>
        <v>200</v>
      </c>
      <c r="H521" s="633"/>
    </row>
    <row r="522" spans="1:8" s="29" customFormat="1" ht="24.75" customHeight="1">
      <c r="A522" s="1587" t="s">
        <v>1180</v>
      </c>
      <c r="B522" s="1588"/>
      <c r="C522" s="1130"/>
      <c r="D522" s="224" t="s">
        <v>1181</v>
      </c>
      <c r="E522" s="1125">
        <v>0.4</v>
      </c>
      <c r="F522" s="1126">
        <v>900</v>
      </c>
      <c r="G522" s="551">
        <f>SUM(E522*F522)</f>
        <v>360</v>
      </c>
      <c r="H522" s="633"/>
    </row>
    <row r="523" spans="1:8" s="29" customFormat="1" ht="24.75" customHeight="1">
      <c r="A523" s="1587" t="s">
        <v>825</v>
      </c>
      <c r="B523" s="1588"/>
      <c r="C523" s="557"/>
      <c r="D523" s="224" t="s">
        <v>741</v>
      </c>
      <c r="E523" s="1125">
        <v>1</v>
      </c>
      <c r="F523" s="1126">
        <v>104.75</v>
      </c>
      <c r="G523" s="551">
        <f>SUM(E523*F523)</f>
        <v>104.75</v>
      </c>
      <c r="H523" s="633"/>
    </row>
    <row r="524" spans="1:8" s="29" customFormat="1" ht="24.75" customHeight="1">
      <c r="A524" s="1587" t="s">
        <v>1182</v>
      </c>
      <c r="B524" s="1588"/>
      <c r="C524" s="1132"/>
      <c r="D524" s="1132"/>
      <c r="E524" s="1132"/>
      <c r="F524" s="1133"/>
      <c r="G524" s="1133">
        <f>SUM(G516:G523)</f>
        <v>9000</v>
      </c>
      <c r="H524" s="633"/>
    </row>
    <row r="525" spans="1:8" s="29" customFormat="1" ht="24.75" customHeight="1">
      <c r="A525" s="1589"/>
      <c r="B525" s="1590"/>
      <c r="C525" s="1130"/>
      <c r="D525" s="224"/>
      <c r="E525" s="1125"/>
      <c r="F525" s="1134"/>
      <c r="G525" s="551" t="s">
        <v>1183</v>
      </c>
      <c r="H525" s="633" t="s">
        <v>1184</v>
      </c>
    </row>
    <row r="526" spans="1:8" s="29" customFormat="1" ht="24.75" customHeight="1" thickBot="1">
      <c r="A526" s="575"/>
      <c r="B526" s="576"/>
      <c r="C526" s="576"/>
      <c r="D526" s="749" t="s">
        <v>601</v>
      </c>
      <c r="E526" s="1135" t="s">
        <v>1185</v>
      </c>
      <c r="F526" s="750" t="s">
        <v>438</v>
      </c>
      <c r="G526" s="577">
        <v>6000</v>
      </c>
      <c r="H526" s="578"/>
    </row>
    <row r="527" spans="1:8" ht="24.75" customHeight="1">
      <c r="A527" s="358" t="s">
        <v>436</v>
      </c>
      <c r="B527" s="359">
        <v>34</v>
      </c>
      <c r="C527" s="1145" t="s">
        <v>442</v>
      </c>
      <c r="D527" s="1550" t="s">
        <v>1239</v>
      </c>
      <c r="E527" s="1566"/>
      <c r="F527" s="1567"/>
      <c r="G527" s="360" t="s">
        <v>468</v>
      </c>
      <c r="H527" s="423" t="s">
        <v>1240</v>
      </c>
    </row>
    <row r="528" spans="1:8" ht="24.75" customHeight="1">
      <c r="A528" s="1534" t="s">
        <v>592</v>
      </c>
      <c r="B528" s="1568"/>
      <c r="C528" s="361" t="s">
        <v>949</v>
      </c>
      <c r="D528" s="361" t="s">
        <v>470</v>
      </c>
      <c r="E528" s="362" t="s">
        <v>471</v>
      </c>
      <c r="F528" s="408" t="s">
        <v>472</v>
      </c>
      <c r="G528" s="362" t="s">
        <v>473</v>
      </c>
      <c r="H528" s="363" t="s">
        <v>474</v>
      </c>
    </row>
    <row r="529" spans="1:8" ht="24.75" customHeight="1">
      <c r="A529" s="1532" t="s">
        <v>1241</v>
      </c>
      <c r="B529" s="1533"/>
      <c r="C529" s="329" t="s">
        <v>1242</v>
      </c>
      <c r="D529" s="38" t="s">
        <v>967</v>
      </c>
      <c r="E529" s="233">
        <v>2.16</v>
      </c>
      <c r="F529" s="48">
        <v>1000</v>
      </c>
      <c r="G529" s="48">
        <f>E529*F529</f>
        <v>2160</v>
      </c>
      <c r="H529" s="432"/>
    </row>
    <row r="530" spans="1:8" ht="24.75" customHeight="1">
      <c r="A530" s="1532" t="s">
        <v>1243</v>
      </c>
      <c r="B530" s="1533"/>
      <c r="C530" s="433"/>
      <c r="D530" s="38" t="s">
        <v>967</v>
      </c>
      <c r="E530" s="233">
        <v>2.16</v>
      </c>
      <c r="F530" s="48">
        <v>1500</v>
      </c>
      <c r="G530" s="48">
        <f>E530*F530</f>
        <v>3240</v>
      </c>
      <c r="H530" s="207"/>
    </row>
    <row r="531" spans="1:8" ht="24.75" customHeight="1">
      <c r="A531" s="1532" t="s">
        <v>1244</v>
      </c>
      <c r="B531" s="1533"/>
      <c r="C531" s="276" t="s">
        <v>1245</v>
      </c>
      <c r="D531" s="40" t="s">
        <v>1246</v>
      </c>
      <c r="E531" s="330">
        <v>5</v>
      </c>
      <c r="F531" s="330">
        <v>250</v>
      </c>
      <c r="G531" s="48">
        <f>E531*F531</f>
        <v>1250</v>
      </c>
      <c r="H531" s="334"/>
    </row>
    <row r="532" spans="1:8" ht="24.75" customHeight="1">
      <c r="A532" s="1532" t="s">
        <v>1247</v>
      </c>
      <c r="B532" s="1533"/>
      <c r="C532" s="433"/>
      <c r="D532" s="40" t="s">
        <v>384</v>
      </c>
      <c r="E532" s="330">
        <v>4</v>
      </c>
      <c r="F532" s="330">
        <v>200</v>
      </c>
      <c r="G532" s="48">
        <f>E532*F532</f>
        <v>800</v>
      </c>
      <c r="H532" s="334"/>
    </row>
    <row r="533" spans="1:8" ht="24.75" customHeight="1">
      <c r="A533" s="1532" t="s">
        <v>1248</v>
      </c>
      <c r="B533" s="1533"/>
      <c r="C533" s="347" t="s">
        <v>1249</v>
      </c>
      <c r="D533" s="40" t="s">
        <v>1153</v>
      </c>
      <c r="E533" s="346">
        <v>1</v>
      </c>
      <c r="F533" s="330" t="s">
        <v>1202</v>
      </c>
      <c r="G533" s="330">
        <v>200</v>
      </c>
      <c r="H533" s="364"/>
    </row>
    <row r="534" spans="1:8" ht="24.75" customHeight="1">
      <c r="A534" s="1532" t="s">
        <v>1250</v>
      </c>
      <c r="B534" s="1533"/>
      <c r="C534" s="434"/>
      <c r="D534" s="40" t="s">
        <v>1038</v>
      </c>
      <c r="E534" s="330">
        <v>1</v>
      </c>
      <c r="F534" s="330" t="s">
        <v>1202</v>
      </c>
      <c r="G534" s="48">
        <v>50</v>
      </c>
      <c r="H534" s="364"/>
    </row>
    <row r="535" spans="1:8" ht="24.75" customHeight="1">
      <c r="A535" s="1532" t="s">
        <v>577</v>
      </c>
      <c r="B535" s="1533"/>
      <c r="C535" s="437"/>
      <c r="D535" s="366"/>
      <c r="E535" s="367"/>
      <c r="F535" s="368"/>
      <c r="G535" s="368">
        <f>SUM(G529:G534)</f>
        <v>7700</v>
      </c>
      <c r="H535" s="383"/>
    </row>
    <row r="536" spans="1:8" ht="24.75" customHeight="1">
      <c r="A536" s="414"/>
      <c r="B536" s="415"/>
      <c r="C536" s="369"/>
      <c r="D536" s="362"/>
      <c r="E536" s="370"/>
      <c r="F536" s="368"/>
      <c r="G536" s="368"/>
      <c r="H536" s="364"/>
    </row>
    <row r="537" spans="1:8" ht="24.75" customHeight="1">
      <c r="A537" s="414"/>
      <c r="B537" s="415"/>
      <c r="C537" s="365"/>
      <c r="D537" s="366"/>
      <c r="E537" s="367"/>
      <c r="F537" s="368"/>
      <c r="G537" s="368"/>
      <c r="H537" s="364"/>
    </row>
    <row r="538" spans="1:8" ht="24.75" customHeight="1">
      <c r="A538" s="376"/>
      <c r="B538" s="377"/>
      <c r="C538" s="378"/>
      <c r="D538" s="379"/>
      <c r="E538" s="380"/>
      <c r="F538" s="380"/>
      <c r="G538" s="380"/>
      <c r="H538" s="381"/>
    </row>
    <row r="539" spans="1:8" ht="24.75" customHeight="1" thickBot="1">
      <c r="A539" s="337"/>
      <c r="B539" s="338"/>
      <c r="C539" s="338"/>
      <c r="D539" s="353" t="s">
        <v>591</v>
      </c>
      <c r="E539" s="339" t="s">
        <v>1251</v>
      </c>
      <c r="F539" s="440" t="s">
        <v>438</v>
      </c>
      <c r="G539" s="354">
        <f>G535</f>
        <v>7700</v>
      </c>
      <c r="H539" s="382"/>
    </row>
    <row r="540" spans="1:8" ht="24.75" customHeight="1">
      <c r="A540" s="1139"/>
      <c r="B540" s="1139"/>
      <c r="C540" s="1139"/>
      <c r="D540" s="1144"/>
      <c r="E540" s="1140"/>
      <c r="F540" s="1141"/>
      <c r="G540" s="1143"/>
      <c r="H540" s="1146"/>
    </row>
    <row r="541" spans="1:8" ht="24.75" customHeight="1">
      <c r="A541" s="29" t="s">
        <v>457</v>
      </c>
      <c r="B541" s="29"/>
      <c r="C541" s="29"/>
      <c r="D541" s="29"/>
      <c r="E541" s="29" t="s">
        <v>458</v>
      </c>
      <c r="F541" s="29"/>
      <c r="G541" s="29"/>
      <c r="H541" s="29"/>
    </row>
    <row r="542" spans="1:8" ht="24.75" customHeight="1">
      <c r="A542" s="238" t="str">
        <f>A510</f>
        <v>經濟部水利署第十河川局</v>
      </c>
      <c r="B542" s="430"/>
      <c r="C542" s="430"/>
      <c r="D542" s="430"/>
      <c r="E542" s="430"/>
      <c r="F542" s="430"/>
      <c r="G542" s="430"/>
      <c r="H542" s="430"/>
    </row>
    <row r="543" spans="1:8" ht="24.75" customHeight="1">
      <c r="A543" s="239" t="str">
        <f>A511</f>
        <v>單  價  分  析  表</v>
      </c>
      <c r="B543" s="430"/>
      <c r="C543" s="430"/>
      <c r="D543" s="430"/>
      <c r="E543" s="430"/>
      <c r="F543" s="430"/>
      <c r="G543" s="430"/>
      <c r="H543" s="430"/>
    </row>
    <row r="544" spans="1:8" ht="24.75" customHeight="1">
      <c r="A544" s="1510" t="str">
        <f>A512</f>
        <v>工程名稱:基隆河整體治理計劃（前期計劃）瑞芳區塊介壽橋下游左右岸護岸工程</v>
      </c>
      <c r="B544" s="1510"/>
      <c r="C544" s="1510"/>
      <c r="D544" s="1510"/>
      <c r="E544" s="1510"/>
      <c r="F544" s="1510"/>
      <c r="G544" s="1510"/>
      <c r="H544" s="253" t="s">
        <v>1065</v>
      </c>
    </row>
    <row r="545" spans="1:8" ht="24.75" customHeight="1" thickBot="1">
      <c r="A545" s="1545" t="str">
        <f>A513</f>
        <v>施工地點：台北縣瑞芳鎮</v>
      </c>
      <c r="B545" s="1545"/>
      <c r="C545" s="1545"/>
      <c r="D545" s="1545"/>
      <c r="E545" s="431"/>
      <c r="F545" s="431"/>
      <c r="G545" s="1546" t="s">
        <v>14</v>
      </c>
      <c r="H545" s="1546"/>
    </row>
    <row r="546" spans="1:8" ht="24.75" customHeight="1">
      <c r="A546" s="358" t="s">
        <v>436</v>
      </c>
      <c r="B546" s="359">
        <v>35</v>
      </c>
      <c r="C546" s="624" t="s">
        <v>817</v>
      </c>
      <c r="D546" s="1550" t="s">
        <v>644</v>
      </c>
      <c r="E546" s="1551"/>
      <c r="F546" s="1552"/>
      <c r="G546" s="360" t="s">
        <v>468</v>
      </c>
      <c r="H546" s="423" t="s">
        <v>610</v>
      </c>
    </row>
    <row r="547" spans="1:8" ht="24.75" customHeight="1">
      <c r="A547" s="220" t="s">
        <v>607</v>
      </c>
      <c r="B547" s="221"/>
      <c r="C547" s="361" t="s">
        <v>608</v>
      </c>
      <c r="D547" s="361" t="s">
        <v>470</v>
      </c>
      <c r="E547" s="362" t="s">
        <v>471</v>
      </c>
      <c r="F547" s="408" t="s">
        <v>472</v>
      </c>
      <c r="G547" s="362" t="s">
        <v>473</v>
      </c>
      <c r="H547" s="363" t="s">
        <v>474</v>
      </c>
    </row>
    <row r="548" spans="1:8" ht="24.75" customHeight="1">
      <c r="A548" s="1532" t="s">
        <v>611</v>
      </c>
      <c r="B548" s="1533"/>
      <c r="C548" s="329" t="s">
        <v>725</v>
      </c>
      <c r="D548" s="38" t="s">
        <v>612</v>
      </c>
      <c r="E548" s="233">
        <v>1.8</v>
      </c>
      <c r="F548" s="48">
        <v>1000</v>
      </c>
      <c r="G548" s="48">
        <f>F548*E548</f>
        <v>1800</v>
      </c>
      <c r="H548" s="207"/>
    </row>
    <row r="549" spans="1:8" ht="24.75" customHeight="1">
      <c r="A549" s="1532" t="s">
        <v>613</v>
      </c>
      <c r="B549" s="1533"/>
      <c r="C549" s="433"/>
      <c r="D549" s="38" t="s">
        <v>612</v>
      </c>
      <c r="E549" s="233">
        <v>1.8</v>
      </c>
      <c r="F549" s="48">
        <v>1500</v>
      </c>
      <c r="G549" s="48">
        <f>F549*E549</f>
        <v>2700</v>
      </c>
      <c r="H549" s="207"/>
    </row>
    <row r="550" spans="1:8" ht="24.75" customHeight="1">
      <c r="A550" s="1532" t="s">
        <v>614</v>
      </c>
      <c r="B550" s="1533"/>
      <c r="C550" s="276" t="s">
        <v>615</v>
      </c>
      <c r="D550" s="40" t="s">
        <v>616</v>
      </c>
      <c r="E550" s="48">
        <v>5</v>
      </c>
      <c r="F550" s="330">
        <v>250</v>
      </c>
      <c r="G550" s="48">
        <f>F550*E550</f>
        <v>1250</v>
      </c>
      <c r="H550" s="384"/>
    </row>
    <row r="551" spans="1:8" ht="24.75" customHeight="1">
      <c r="A551" s="1532" t="s">
        <v>617</v>
      </c>
      <c r="B551" s="1533"/>
      <c r="C551" s="433"/>
      <c r="D551" s="40" t="s">
        <v>618</v>
      </c>
      <c r="E551" s="330">
        <v>4</v>
      </c>
      <c r="F551" s="330">
        <v>200</v>
      </c>
      <c r="G551" s="48">
        <f>F551*E551</f>
        <v>800</v>
      </c>
      <c r="H551" s="384"/>
    </row>
    <row r="552" spans="1:8" ht="24.75" customHeight="1">
      <c r="A552" s="1532" t="s">
        <v>619</v>
      </c>
      <c r="B552" s="1533"/>
      <c r="C552" s="347" t="s">
        <v>620</v>
      </c>
      <c r="D552" s="40" t="s">
        <v>621</v>
      </c>
      <c r="E552" s="330">
        <v>1</v>
      </c>
      <c r="F552" s="330" t="s">
        <v>609</v>
      </c>
      <c r="G552" s="48">
        <v>200</v>
      </c>
      <c r="H552" s="384"/>
    </row>
    <row r="553" spans="1:8" ht="24.75" customHeight="1">
      <c r="A553" s="1532" t="s">
        <v>622</v>
      </c>
      <c r="B553" s="1533"/>
      <c r="C553" s="434"/>
      <c r="D553" s="40" t="s">
        <v>623</v>
      </c>
      <c r="E553" s="330">
        <v>1</v>
      </c>
      <c r="F553" s="330" t="s">
        <v>609</v>
      </c>
      <c r="G553" s="48">
        <v>50</v>
      </c>
      <c r="H553" s="384"/>
    </row>
    <row r="554" spans="1:8" ht="24.75" customHeight="1">
      <c r="A554" s="1532" t="s">
        <v>605</v>
      </c>
      <c r="B554" s="1533"/>
      <c r="C554" s="437"/>
      <c r="D554" s="366"/>
      <c r="E554" s="330"/>
      <c r="F554" s="332"/>
      <c r="G554" s="48">
        <f>SUM(G548:G553)</f>
        <v>6800</v>
      </c>
      <c r="H554" s="46"/>
    </row>
    <row r="555" spans="1:8" ht="24.75" customHeight="1">
      <c r="A555" s="416"/>
      <c r="B555" s="519"/>
      <c r="C555" s="437"/>
      <c r="D555" s="366"/>
      <c r="E555" s="330"/>
      <c r="F555" s="332"/>
      <c r="G555" s="48"/>
      <c r="H555" s="46"/>
    </row>
    <row r="556" spans="1:8" ht="24.75" customHeight="1">
      <c r="A556" s="427"/>
      <c r="B556" s="333"/>
      <c r="C556" s="49"/>
      <c r="D556" s="40"/>
      <c r="E556" s="330"/>
      <c r="F556" s="332"/>
      <c r="G556" s="48"/>
      <c r="H556" s="47"/>
    </row>
    <row r="557" spans="1:8" ht="24.75" customHeight="1" thickBot="1">
      <c r="A557" s="337"/>
      <c r="B557" s="338"/>
      <c r="C557" s="338"/>
      <c r="D557" s="353" t="s">
        <v>591</v>
      </c>
      <c r="E557" s="339" t="s">
        <v>624</v>
      </c>
      <c r="F557" s="440" t="s">
        <v>438</v>
      </c>
      <c r="G557" s="354">
        <f>G554</f>
        <v>6800</v>
      </c>
      <c r="H557" s="340"/>
    </row>
    <row r="558" spans="1:8" ht="24.75" customHeight="1">
      <c r="A558" s="358" t="s">
        <v>625</v>
      </c>
      <c r="B558" s="390">
        <v>36</v>
      </c>
      <c r="C558" s="624" t="s">
        <v>817</v>
      </c>
      <c r="D558" s="1584" t="s">
        <v>645</v>
      </c>
      <c r="E558" s="1585"/>
      <c r="F558" s="1586"/>
      <c r="G558" s="390" t="s">
        <v>626</v>
      </c>
      <c r="H558" s="423" t="s">
        <v>610</v>
      </c>
    </row>
    <row r="559" spans="1:8" ht="24.75" customHeight="1">
      <c r="A559" s="1532" t="s">
        <v>1236</v>
      </c>
      <c r="B559" s="1533" t="s">
        <v>939</v>
      </c>
      <c r="C559" s="391" t="s">
        <v>627</v>
      </c>
      <c r="D559" s="391" t="s">
        <v>626</v>
      </c>
      <c r="E559" s="391" t="s">
        <v>628</v>
      </c>
      <c r="F559" s="391" t="s">
        <v>629</v>
      </c>
      <c r="G559" s="391" t="s">
        <v>630</v>
      </c>
      <c r="H559" s="392" t="s">
        <v>631</v>
      </c>
    </row>
    <row r="560" spans="1:8" ht="24.75" customHeight="1">
      <c r="A560" s="1532" t="s">
        <v>611</v>
      </c>
      <c r="B560" s="1533"/>
      <c r="C560" s="329" t="s">
        <v>726</v>
      </c>
      <c r="D560" s="38" t="s">
        <v>612</v>
      </c>
      <c r="E560" s="233">
        <v>0.6</v>
      </c>
      <c r="F560" s="48">
        <v>1000</v>
      </c>
      <c r="G560" s="48">
        <f>F560*E560</f>
        <v>600</v>
      </c>
      <c r="H560" s="393"/>
    </row>
    <row r="561" spans="1:8" ht="24.75" customHeight="1">
      <c r="A561" s="1532" t="s">
        <v>613</v>
      </c>
      <c r="B561" s="1533"/>
      <c r="C561" s="433"/>
      <c r="D561" s="38" t="s">
        <v>612</v>
      </c>
      <c r="E561" s="233">
        <v>0.6</v>
      </c>
      <c r="F561" s="48">
        <v>1500</v>
      </c>
      <c r="G561" s="48">
        <f>F561*E561</f>
        <v>900</v>
      </c>
      <c r="H561" s="393"/>
    </row>
    <row r="562" spans="1:8" ht="24.75" customHeight="1">
      <c r="A562" s="1532" t="s">
        <v>614</v>
      </c>
      <c r="B562" s="1533"/>
      <c r="C562" s="276" t="s">
        <v>615</v>
      </c>
      <c r="D562" s="40" t="s">
        <v>616</v>
      </c>
      <c r="E562" s="48">
        <v>2</v>
      </c>
      <c r="F562" s="330">
        <v>250</v>
      </c>
      <c r="G562" s="48">
        <f>F562*E562</f>
        <v>500</v>
      </c>
      <c r="H562" s="393"/>
    </row>
    <row r="563" spans="1:8" ht="24.75" customHeight="1">
      <c r="A563" s="1532" t="s">
        <v>617</v>
      </c>
      <c r="B563" s="1533"/>
      <c r="C563" s="433"/>
      <c r="D563" s="40" t="s">
        <v>618</v>
      </c>
      <c r="E563" s="330">
        <v>2</v>
      </c>
      <c r="F563" s="330">
        <v>200</v>
      </c>
      <c r="G563" s="48">
        <f>F563*E563</f>
        <v>400</v>
      </c>
      <c r="H563" s="393"/>
    </row>
    <row r="564" spans="1:8" ht="24.75" customHeight="1">
      <c r="A564" s="1532" t="s">
        <v>619</v>
      </c>
      <c r="B564" s="1533"/>
      <c r="C564" s="347" t="s">
        <v>620</v>
      </c>
      <c r="D564" s="40" t="s">
        <v>621</v>
      </c>
      <c r="E564" s="330">
        <v>1</v>
      </c>
      <c r="F564" s="330" t="s">
        <v>609</v>
      </c>
      <c r="G564" s="48">
        <v>200</v>
      </c>
      <c r="H564" s="393"/>
    </row>
    <row r="565" spans="1:8" ht="24.75" customHeight="1">
      <c r="A565" s="1532" t="s">
        <v>622</v>
      </c>
      <c r="B565" s="1533"/>
      <c r="C565" s="434"/>
      <c r="D565" s="40" t="s">
        <v>623</v>
      </c>
      <c r="E565" s="330">
        <v>1</v>
      </c>
      <c r="F565" s="330" t="s">
        <v>609</v>
      </c>
      <c r="G565" s="48">
        <v>100</v>
      </c>
      <c r="H565" s="393"/>
    </row>
    <row r="566" spans="1:8" ht="24.75" customHeight="1">
      <c r="A566" s="1532" t="s">
        <v>605</v>
      </c>
      <c r="B566" s="1533"/>
      <c r="C566" s="437"/>
      <c r="D566" s="366"/>
      <c r="E566" s="330"/>
      <c r="F566" s="332"/>
      <c r="G566" s="48">
        <f>SUM(G560:G565)</f>
        <v>2700</v>
      </c>
      <c r="H566" s="46"/>
    </row>
    <row r="567" spans="1:8" ht="24.75" customHeight="1">
      <c r="A567" s="416"/>
      <c r="B567" s="878"/>
      <c r="C567" s="437"/>
      <c r="D567" s="366"/>
      <c r="E567" s="330"/>
      <c r="F567" s="332"/>
      <c r="G567" s="48"/>
      <c r="H567" s="46"/>
    </row>
    <row r="568" spans="1:8" ht="24.75" customHeight="1">
      <c r="A568" s="416"/>
      <c r="B568" s="878"/>
      <c r="C568" s="437"/>
      <c r="D568" s="366"/>
      <c r="E568" s="330"/>
      <c r="F568" s="332"/>
      <c r="G568" s="48"/>
      <c r="H568" s="46"/>
    </row>
    <row r="569" spans="1:8" ht="24.75" customHeight="1">
      <c r="A569" s="416"/>
      <c r="B569" s="878"/>
      <c r="C569" s="437"/>
      <c r="D569" s="366"/>
      <c r="E569" s="330"/>
      <c r="F569" s="332"/>
      <c r="G569" s="48"/>
      <c r="H569" s="46"/>
    </row>
    <row r="570" spans="1:8" ht="24.75" customHeight="1">
      <c r="A570" s="328"/>
      <c r="B570" s="357"/>
      <c r="C570" s="351"/>
      <c r="D570" s="40"/>
      <c r="E570" s="331"/>
      <c r="F570" s="330"/>
      <c r="G570" s="330"/>
      <c r="H570" s="47"/>
    </row>
    <row r="571" spans="1:8" ht="24.75" customHeight="1" thickBot="1">
      <c r="A571" s="337"/>
      <c r="B571" s="338"/>
      <c r="C571" s="338"/>
      <c r="D571" s="353" t="s">
        <v>591</v>
      </c>
      <c r="E571" s="339" t="s">
        <v>624</v>
      </c>
      <c r="F571" s="440" t="s">
        <v>438</v>
      </c>
      <c r="G571" s="354">
        <f>G566</f>
        <v>2700</v>
      </c>
      <c r="H571" s="340"/>
    </row>
    <row r="572" spans="1:8" ht="24.75" customHeight="1">
      <c r="A572" s="227"/>
      <c r="B572" s="29"/>
      <c r="C572" s="227"/>
      <c r="D572" s="227"/>
      <c r="E572" s="227"/>
      <c r="F572" s="227"/>
      <c r="G572" s="227"/>
      <c r="H572" s="29"/>
    </row>
    <row r="573" spans="1:8" ht="24.75" customHeight="1">
      <c r="A573" s="29" t="s">
        <v>457</v>
      </c>
      <c r="B573" s="29"/>
      <c r="C573" s="29"/>
      <c r="D573" s="29"/>
      <c r="E573" s="29" t="s">
        <v>458</v>
      </c>
      <c r="F573" s="29"/>
      <c r="G573" s="29"/>
      <c r="H573" s="29"/>
    </row>
    <row r="574" spans="1:8" ht="24.75" customHeight="1">
      <c r="A574" s="238" t="str">
        <f>A542</f>
        <v>經濟部水利署第十河川局</v>
      </c>
      <c r="B574" s="430"/>
      <c r="C574" s="430"/>
      <c r="D574" s="430"/>
      <c r="E574" s="430"/>
      <c r="F574" s="430"/>
      <c r="G574" s="430"/>
      <c r="H574" s="430"/>
    </row>
    <row r="575" spans="1:8" ht="24.75" customHeight="1">
      <c r="A575" s="239" t="str">
        <f>A543</f>
        <v>單  價  分  析  表</v>
      </c>
      <c r="B575" s="430"/>
      <c r="C575" s="430"/>
      <c r="D575" s="430"/>
      <c r="E575" s="430"/>
      <c r="F575" s="430"/>
      <c r="G575" s="430"/>
      <c r="H575" s="430"/>
    </row>
    <row r="576" spans="1:8" ht="24.75" customHeight="1">
      <c r="A576" s="1510" t="str">
        <f>A544</f>
        <v>工程名稱:基隆河整體治理計劃（前期計劃）瑞芳區塊介壽橋下游左右岸護岸工程</v>
      </c>
      <c r="B576" s="1510"/>
      <c r="C576" s="1510"/>
      <c r="D576" s="1510"/>
      <c r="E576" s="1510"/>
      <c r="F576" s="1510"/>
      <c r="G576" s="1510"/>
      <c r="H576" s="253" t="s">
        <v>1065</v>
      </c>
    </row>
    <row r="577" spans="1:8" ht="24.75" customHeight="1" thickBot="1">
      <c r="A577" s="1545" t="str">
        <f>A545</f>
        <v>施工地點：台北縣瑞芳鎮</v>
      </c>
      <c r="B577" s="1545"/>
      <c r="C577" s="1545"/>
      <c r="D577" s="1545"/>
      <c r="E577" s="431"/>
      <c r="F577" s="431"/>
      <c r="G577" s="1546" t="s">
        <v>13</v>
      </c>
      <c r="H577" s="1546"/>
    </row>
    <row r="578" spans="1:8" ht="24.75" customHeight="1">
      <c r="A578" s="341" t="s">
        <v>565</v>
      </c>
      <c r="B578" s="342">
        <v>37</v>
      </c>
      <c r="C578" s="344" t="s">
        <v>442</v>
      </c>
      <c r="D578" s="1218" t="s">
        <v>1288</v>
      </c>
      <c r="E578" s="396"/>
      <c r="F578" s="1040"/>
      <c r="G578" s="52" t="s">
        <v>468</v>
      </c>
      <c r="H578" s="1220" t="s">
        <v>990</v>
      </c>
    </row>
    <row r="579" spans="1:8" ht="24.75" customHeight="1">
      <c r="A579" s="1536" t="s">
        <v>600</v>
      </c>
      <c r="B579" s="1562"/>
      <c r="C579" s="888" t="s">
        <v>469</v>
      </c>
      <c r="D579" s="888" t="s">
        <v>470</v>
      </c>
      <c r="E579" s="897" t="s">
        <v>471</v>
      </c>
      <c r="F579" s="897" t="s">
        <v>472</v>
      </c>
      <c r="G579" s="897" t="s">
        <v>473</v>
      </c>
      <c r="H579" s="898" t="s">
        <v>474</v>
      </c>
    </row>
    <row r="580" spans="1:8" ht="24.75" customHeight="1">
      <c r="A580" s="1563" t="s">
        <v>1281</v>
      </c>
      <c r="B580" s="1561"/>
      <c r="C580" s="1088"/>
      <c r="D580" s="1091" t="s">
        <v>1282</v>
      </c>
      <c r="E580" s="899">
        <v>10.5</v>
      </c>
      <c r="F580" s="48">
        <v>170</v>
      </c>
      <c r="G580" s="48">
        <f>E580*F580</f>
        <v>1785</v>
      </c>
      <c r="H580" s="41"/>
    </row>
    <row r="581" spans="1:8" ht="24.75" customHeight="1">
      <c r="A581" s="1532" t="s">
        <v>1283</v>
      </c>
      <c r="B581" s="1561"/>
      <c r="C581" s="768"/>
      <c r="D581" s="1091" t="s">
        <v>1284</v>
      </c>
      <c r="E581" s="899">
        <v>1</v>
      </c>
      <c r="F581" s="48">
        <v>60</v>
      </c>
      <c r="G581" s="48">
        <f>E581*F581</f>
        <v>60</v>
      </c>
      <c r="H581" s="41"/>
    </row>
    <row r="582" spans="1:8" ht="24.75" customHeight="1">
      <c r="A582" s="1532" t="s">
        <v>1285</v>
      </c>
      <c r="B582" s="1561"/>
      <c r="C582" s="1007"/>
      <c r="D582" s="1091" t="s">
        <v>1282</v>
      </c>
      <c r="E582" s="899">
        <v>1</v>
      </c>
      <c r="F582" s="48">
        <v>55</v>
      </c>
      <c r="G582" s="48">
        <f>E582*F582</f>
        <v>55</v>
      </c>
      <c r="H582" s="1089"/>
    </row>
    <row r="583" spans="1:8" ht="24.75" customHeight="1">
      <c r="A583" s="1560" t="s">
        <v>1286</v>
      </c>
      <c r="B583" s="1561"/>
      <c r="C583" s="768"/>
      <c r="D583" s="1091"/>
      <c r="E583" s="899"/>
      <c r="F583" s="48"/>
      <c r="G583" s="48">
        <f>SUM(G580:G582)</f>
        <v>1900</v>
      </c>
      <c r="H583" s="41"/>
    </row>
    <row r="584" spans="1:8" ht="24.75" customHeight="1">
      <c r="A584" s="1539" t="s">
        <v>1287</v>
      </c>
      <c r="B584" s="1540"/>
      <c r="C584" s="1092"/>
      <c r="D584" s="1404" t="s">
        <v>1452</v>
      </c>
      <c r="E584" s="1219"/>
      <c r="F584" s="208"/>
      <c r="G584" s="48">
        <v>190</v>
      </c>
      <c r="H584" s="41"/>
    </row>
    <row r="585" spans="1:8" ht="24.75" customHeight="1">
      <c r="A585" s="1539"/>
      <c r="B585" s="1540"/>
      <c r="C585" s="1092"/>
      <c r="D585" s="208"/>
      <c r="E585" s="1008"/>
      <c r="F585" s="208"/>
      <c r="G585" s="48"/>
      <c r="H585" s="1093"/>
    </row>
    <row r="586" spans="1:8" ht="24.75" customHeight="1" thickBot="1">
      <c r="A586" s="337"/>
      <c r="B586" s="338"/>
      <c r="C586" s="338"/>
      <c r="D586" s="1094" t="s">
        <v>601</v>
      </c>
      <c r="E586" s="1019" t="str">
        <f>H578</f>
        <v>支</v>
      </c>
      <c r="F586" s="1095" t="s">
        <v>438</v>
      </c>
      <c r="G586" s="354">
        <v>190</v>
      </c>
      <c r="H586" s="1009"/>
    </row>
    <row r="587" spans="1:8" ht="24.75" customHeight="1">
      <c r="A587" s="341" t="s">
        <v>436</v>
      </c>
      <c r="B587" s="342">
        <v>38</v>
      </c>
      <c r="C587" s="344" t="s">
        <v>442</v>
      </c>
      <c r="D587" s="1218" t="s">
        <v>319</v>
      </c>
      <c r="E587" s="396"/>
      <c r="F587" s="1040"/>
      <c r="G587" s="52" t="s">
        <v>468</v>
      </c>
      <c r="H587" s="1220" t="s">
        <v>990</v>
      </c>
    </row>
    <row r="588" spans="1:8" ht="24.75" customHeight="1">
      <c r="A588" s="1534" t="s">
        <v>1014</v>
      </c>
      <c r="B588" s="1547"/>
      <c r="C588" s="50" t="s">
        <v>469</v>
      </c>
      <c r="D588" s="50" t="s">
        <v>470</v>
      </c>
      <c r="E588" s="38" t="s">
        <v>471</v>
      </c>
      <c r="F588" s="38" t="s">
        <v>472</v>
      </c>
      <c r="G588" s="38" t="s">
        <v>473</v>
      </c>
      <c r="H588" s="51" t="s">
        <v>474</v>
      </c>
    </row>
    <row r="589" spans="1:8" ht="24.75" customHeight="1">
      <c r="A589" s="1536" t="s">
        <v>314</v>
      </c>
      <c r="B589" s="1559"/>
      <c r="C589" s="329" t="s">
        <v>315</v>
      </c>
      <c r="D589" s="38" t="s">
        <v>456</v>
      </c>
      <c r="E589" s="935">
        <v>1</v>
      </c>
      <c r="F589" s="330">
        <v>200</v>
      </c>
      <c r="G589" s="330">
        <v>200</v>
      </c>
      <c r="H589" s="1242" t="s">
        <v>316</v>
      </c>
    </row>
    <row r="590" spans="1:8" ht="24.75" customHeight="1">
      <c r="A590" s="1536" t="s">
        <v>317</v>
      </c>
      <c r="B590" s="1559"/>
      <c r="C590" s="347" t="s">
        <v>318</v>
      </c>
      <c r="D590" s="38" t="s">
        <v>414</v>
      </c>
      <c r="E590" s="935">
        <v>1</v>
      </c>
      <c r="F590" s="330" t="s">
        <v>475</v>
      </c>
      <c r="G590" s="330">
        <v>50</v>
      </c>
      <c r="H590" s="46"/>
    </row>
    <row r="591" spans="1:8" ht="24.75" customHeight="1">
      <c r="A591" s="1534" t="s">
        <v>705</v>
      </c>
      <c r="B591" s="1547"/>
      <c r="C591" s="347"/>
      <c r="D591" s="40"/>
      <c r="E591" s="330"/>
      <c r="F591" s="331"/>
      <c r="G591" s="330">
        <v>250</v>
      </c>
      <c r="H591" s="46"/>
    </row>
    <row r="592" spans="1:8" ht="24.75" customHeight="1">
      <c r="A592" s="1230"/>
      <c r="B592" s="1231"/>
      <c r="C592" s="1228"/>
      <c r="D592" s="533"/>
      <c r="E592" s="1229"/>
      <c r="F592" s="767"/>
      <c r="G592" s="767"/>
      <c r="H592" s="527"/>
    </row>
    <row r="593" spans="1:8" ht="24.75" customHeight="1">
      <c r="A593" s="532"/>
      <c r="B593" s="1231"/>
      <c r="C593" s="1228"/>
      <c r="D593" s="533"/>
      <c r="E593" s="1229"/>
      <c r="F593" s="767"/>
      <c r="G593" s="767"/>
      <c r="H593" s="1232"/>
    </row>
    <row r="594" spans="1:8" ht="24.75" customHeight="1">
      <c r="A594" s="532"/>
      <c r="B594" s="1011"/>
      <c r="C594" s="1233"/>
      <c r="D594" s="533"/>
      <c r="E594" s="1234"/>
      <c r="F594" s="767"/>
      <c r="G594" s="767"/>
      <c r="H594" s="1232"/>
    </row>
    <row r="595" spans="1:8" ht="24.75" customHeight="1">
      <c r="A595" s="532"/>
      <c r="B595" s="39"/>
      <c r="C595" s="1012"/>
      <c r="D595" s="533"/>
      <c r="E595" s="767"/>
      <c r="F595" s="767"/>
      <c r="G595" s="767"/>
      <c r="H595" s="1232"/>
    </row>
    <row r="596" spans="1:8" ht="24.75" customHeight="1">
      <c r="A596" s="532"/>
      <c r="B596" s="1235"/>
      <c r="C596" s="1012"/>
      <c r="D596" s="533"/>
      <c r="E596" s="767"/>
      <c r="F596" s="767"/>
      <c r="G596" s="767"/>
      <c r="H596" s="1236"/>
    </row>
    <row r="597" spans="1:8" ht="24.75" customHeight="1">
      <c r="A597" s="532"/>
      <c r="B597" s="1235"/>
      <c r="C597" s="1012"/>
      <c r="D597" s="533"/>
      <c r="E597" s="767"/>
      <c r="F597" s="767"/>
      <c r="G597" s="767"/>
      <c r="H597" s="1236"/>
    </row>
    <row r="598" spans="1:8" ht="24.75" customHeight="1">
      <c r="A598" s="532"/>
      <c r="B598" s="1235"/>
      <c r="C598" s="1012"/>
      <c r="D598" s="533"/>
      <c r="E598" s="767"/>
      <c r="F598" s="767"/>
      <c r="G598" s="767"/>
      <c r="H598" s="1236"/>
    </row>
    <row r="599" spans="1:8" ht="24.75" customHeight="1">
      <c r="A599" s="532"/>
      <c r="B599" s="1235"/>
      <c r="C599" s="1013"/>
      <c r="D599" s="533"/>
      <c r="E599" s="534"/>
      <c r="F599" s="767"/>
      <c r="G599" s="534"/>
      <c r="H599" s="535"/>
    </row>
    <row r="600" spans="1:8" ht="24.75" customHeight="1">
      <c r="A600" s="1237"/>
      <c r="B600" s="1235"/>
      <c r="C600" s="1013"/>
      <c r="D600" s="533"/>
      <c r="E600" s="534"/>
      <c r="F600" s="767"/>
      <c r="G600" s="534"/>
      <c r="H600" s="535"/>
    </row>
    <row r="601" spans="1:8" ht="24.75" customHeight="1">
      <c r="A601" s="1014"/>
      <c r="B601" s="1235"/>
      <c r="C601" s="1013"/>
      <c r="D601" s="1010"/>
      <c r="E601" s="1015"/>
      <c r="F601" s="1015"/>
      <c r="G601" s="1015"/>
      <c r="H601" s="535"/>
    </row>
    <row r="602" spans="1:8" ht="24.75" customHeight="1" thickBot="1">
      <c r="A602" s="1238"/>
      <c r="B602" s="1179"/>
      <c r="C602" s="1179"/>
      <c r="D602" s="1239" t="s">
        <v>476</v>
      </c>
      <c r="E602" s="1240" t="s">
        <v>456</v>
      </c>
      <c r="F602" s="1241" t="s">
        <v>438</v>
      </c>
      <c r="G602" s="354">
        <f>G591</f>
        <v>250</v>
      </c>
      <c r="H602" s="520"/>
    </row>
    <row r="603" spans="1:8" ht="24.75" customHeight="1">
      <c r="A603" s="227"/>
      <c r="B603" s="29"/>
      <c r="C603" s="227"/>
      <c r="D603" s="227"/>
      <c r="E603" s="227"/>
      <c r="F603" s="227"/>
      <c r="G603" s="227"/>
      <c r="H603" s="29"/>
    </row>
    <row r="604" spans="1:8" ht="24.75" customHeight="1">
      <c r="A604" s="29" t="s">
        <v>457</v>
      </c>
      <c r="B604" s="29"/>
      <c r="C604" s="29"/>
      <c r="D604" s="29"/>
      <c r="E604" s="29" t="s">
        <v>458</v>
      </c>
      <c r="F604" s="29"/>
      <c r="G604" s="29"/>
      <c r="H604" s="29"/>
    </row>
    <row r="605" spans="1:8" ht="24.75" customHeight="1">
      <c r="A605" s="238" t="str">
        <f>A574</f>
        <v>經濟部水利署第十河川局</v>
      </c>
      <c r="B605" s="430"/>
      <c r="C605" s="430"/>
      <c r="D605" s="430"/>
      <c r="E605" s="430"/>
      <c r="F605" s="430"/>
      <c r="G605" s="430"/>
      <c r="H605" s="430"/>
    </row>
    <row r="606" spans="1:8" ht="24.75" customHeight="1">
      <c r="A606" s="239" t="str">
        <f>A575</f>
        <v>單  價  分  析  表</v>
      </c>
      <c r="B606" s="430"/>
      <c r="C606" s="430"/>
      <c r="D606" s="430"/>
      <c r="E606" s="430"/>
      <c r="F606" s="430"/>
      <c r="G606" s="430"/>
      <c r="H606" s="430"/>
    </row>
    <row r="607" spans="1:8" ht="24.75" customHeight="1">
      <c r="A607" s="1510" t="str">
        <f>A576</f>
        <v>工程名稱:基隆河整體治理計劃（前期計劃）瑞芳區塊介壽橋下游左右岸護岸工程</v>
      </c>
      <c r="B607" s="1510"/>
      <c r="C607" s="1510"/>
      <c r="D607" s="1510"/>
      <c r="E607" s="1510"/>
      <c r="F607" s="1510"/>
      <c r="G607" s="1510"/>
      <c r="H607" s="253" t="s">
        <v>1065</v>
      </c>
    </row>
    <row r="608" spans="1:8" ht="24.75" customHeight="1" thickBot="1">
      <c r="A608" s="1545" t="str">
        <f>A577</f>
        <v>施工地點：台北縣瑞芳鎮</v>
      </c>
      <c r="B608" s="1545"/>
      <c r="C608" s="1545"/>
      <c r="D608" s="1545"/>
      <c r="E608" s="431"/>
      <c r="F608" s="431"/>
      <c r="G608" s="1546" t="s">
        <v>12</v>
      </c>
      <c r="H608" s="1546"/>
    </row>
    <row r="609" spans="1:8" s="29" customFormat="1" ht="24.75" customHeight="1">
      <c r="A609" s="341" t="s">
        <v>436</v>
      </c>
      <c r="B609" s="342">
        <v>39</v>
      </c>
      <c r="C609" s="1046" t="s">
        <v>442</v>
      </c>
      <c r="D609" s="964" t="s">
        <v>331</v>
      </c>
      <c r="E609" s="942"/>
      <c r="F609" s="943"/>
      <c r="G609" s="52" t="s">
        <v>468</v>
      </c>
      <c r="H609" s="1252" t="s">
        <v>1185</v>
      </c>
    </row>
    <row r="610" spans="1:8" s="29" customFormat="1" ht="24.75" customHeight="1">
      <c r="A610" s="1534" t="s">
        <v>1014</v>
      </c>
      <c r="B610" s="1535"/>
      <c r="C610" s="968" t="s">
        <v>469</v>
      </c>
      <c r="D610" s="968" t="s">
        <v>470</v>
      </c>
      <c r="E610" s="969" t="s">
        <v>471</v>
      </c>
      <c r="F610" s="969" t="s">
        <v>472</v>
      </c>
      <c r="G610" s="969" t="s">
        <v>473</v>
      </c>
      <c r="H610" s="970" t="s">
        <v>474</v>
      </c>
    </row>
    <row r="611" spans="1:8" s="29" customFormat="1" ht="24.75" customHeight="1">
      <c r="A611" s="1536" t="s">
        <v>332</v>
      </c>
      <c r="B611" s="1537"/>
      <c r="C611" s="971" t="s">
        <v>321</v>
      </c>
      <c r="D611" s="38" t="s">
        <v>456</v>
      </c>
      <c r="E611" s="346">
        <v>1</v>
      </c>
      <c r="F611" s="330">
        <v>6000</v>
      </c>
      <c r="G611" s="330">
        <f aca="true" t="shared" si="3" ref="G611:G618">SUM(E611*F611)</f>
        <v>6000</v>
      </c>
      <c r="H611" s="46"/>
    </row>
    <row r="612" spans="1:8" s="29" customFormat="1" ht="24.75" customHeight="1">
      <c r="A612" s="1536" t="s">
        <v>1154</v>
      </c>
      <c r="B612" s="1537"/>
      <c r="C612" s="1007"/>
      <c r="D612" s="38" t="s">
        <v>467</v>
      </c>
      <c r="E612" s="346">
        <v>0.07</v>
      </c>
      <c r="F612" s="330">
        <v>900</v>
      </c>
      <c r="G612" s="330">
        <f t="shared" si="3"/>
        <v>63</v>
      </c>
      <c r="H612" s="46"/>
    </row>
    <row r="613" spans="1:8" s="29" customFormat="1" ht="24.75" customHeight="1">
      <c r="A613" s="1536" t="s">
        <v>322</v>
      </c>
      <c r="B613" s="1537"/>
      <c r="C613" s="1007"/>
      <c r="D613" s="40" t="s">
        <v>467</v>
      </c>
      <c r="E613" s="935">
        <v>0.14</v>
      </c>
      <c r="F613" s="331">
        <v>700</v>
      </c>
      <c r="G613" s="330">
        <f t="shared" si="3"/>
        <v>98</v>
      </c>
      <c r="H613" s="46"/>
    </row>
    <row r="614" spans="1:8" s="29" customFormat="1" ht="24.75" customHeight="1">
      <c r="A614" s="1536" t="s">
        <v>323</v>
      </c>
      <c r="B614" s="1537"/>
      <c r="C614" s="1007"/>
      <c r="D614" s="40" t="s">
        <v>579</v>
      </c>
      <c r="E614" s="330">
        <v>0.47</v>
      </c>
      <c r="F614" s="330">
        <v>580</v>
      </c>
      <c r="G614" s="330">
        <f t="shared" si="3"/>
        <v>272.6</v>
      </c>
      <c r="H614" s="46"/>
    </row>
    <row r="615" spans="1:8" s="29" customFormat="1" ht="24.75" customHeight="1">
      <c r="A615" s="1536" t="s">
        <v>324</v>
      </c>
      <c r="B615" s="1537"/>
      <c r="C615" s="1007"/>
      <c r="D615" s="332" t="s">
        <v>1019</v>
      </c>
      <c r="E615" s="330">
        <v>6</v>
      </c>
      <c r="F615" s="330">
        <f>G83</f>
        <v>270</v>
      </c>
      <c r="G615" s="330">
        <f t="shared" si="3"/>
        <v>1620</v>
      </c>
      <c r="H615" s="1243" t="s">
        <v>325</v>
      </c>
    </row>
    <row r="616" spans="1:8" s="29" customFormat="1" ht="24.75" customHeight="1">
      <c r="A616" s="1536" t="s">
        <v>326</v>
      </c>
      <c r="B616" s="1537"/>
      <c r="C616" s="1244"/>
      <c r="D616" s="1091" t="s">
        <v>602</v>
      </c>
      <c r="E616" s="1254">
        <v>5.3</v>
      </c>
      <c r="F616" s="330">
        <v>200</v>
      </c>
      <c r="G616" s="330">
        <f t="shared" si="3"/>
        <v>1060</v>
      </c>
      <c r="H616" s="41"/>
    </row>
    <row r="617" spans="1:8" s="29" customFormat="1" ht="24.75" customHeight="1">
      <c r="A617" s="1536" t="s">
        <v>162</v>
      </c>
      <c r="B617" s="1537"/>
      <c r="C617" s="1245" t="s">
        <v>140</v>
      </c>
      <c r="D617" s="1091" t="s">
        <v>602</v>
      </c>
      <c r="E617" s="331">
        <v>1</v>
      </c>
      <c r="F617" s="330">
        <f>G17</f>
        <v>1910</v>
      </c>
      <c r="G617" s="330">
        <f t="shared" si="3"/>
        <v>1910</v>
      </c>
      <c r="H617" s="1246" t="s">
        <v>333</v>
      </c>
    </row>
    <row r="618" spans="1:8" s="29" customFormat="1" ht="24.75" customHeight="1">
      <c r="A618" s="1536" t="s">
        <v>327</v>
      </c>
      <c r="B618" s="1537"/>
      <c r="C618" s="768" t="s">
        <v>328</v>
      </c>
      <c r="D618" s="1091" t="s">
        <v>602</v>
      </c>
      <c r="E618" s="330">
        <v>15</v>
      </c>
      <c r="F618" s="330">
        <v>22</v>
      </c>
      <c r="G618" s="330">
        <f t="shared" si="3"/>
        <v>330</v>
      </c>
      <c r="H618" s="334"/>
    </row>
    <row r="619" spans="1:8" s="29" customFormat="1" ht="24.75" customHeight="1">
      <c r="A619" s="1536" t="s">
        <v>329</v>
      </c>
      <c r="B619" s="1537"/>
      <c r="C619" s="1090" t="s">
        <v>330</v>
      </c>
      <c r="D619" s="40" t="s">
        <v>414</v>
      </c>
      <c r="E619" s="48">
        <v>1</v>
      </c>
      <c r="F619" s="330" t="s">
        <v>475</v>
      </c>
      <c r="G619" s="48">
        <v>146.4</v>
      </c>
      <c r="H619" s="334"/>
    </row>
    <row r="620" spans="1:8" s="29" customFormat="1" ht="24.75" customHeight="1">
      <c r="A620" s="1536" t="s">
        <v>705</v>
      </c>
      <c r="B620" s="1537"/>
      <c r="C620" s="335"/>
      <c r="D620" s="40"/>
      <c r="E620" s="48"/>
      <c r="F620" s="330"/>
      <c r="G620" s="48">
        <f>SUM(G611:G619)</f>
        <v>11500</v>
      </c>
      <c r="H620" s="334"/>
    </row>
    <row r="621" spans="1:8" s="29" customFormat="1" ht="24.75" customHeight="1">
      <c r="A621" s="1237"/>
      <c r="B621" s="1235"/>
      <c r="C621" s="1013"/>
      <c r="D621" s="533"/>
      <c r="E621" s="534"/>
      <c r="F621" s="767"/>
      <c r="G621" s="534"/>
      <c r="H621" s="535"/>
    </row>
    <row r="622" spans="1:8" s="29" customFormat="1" ht="24.75" customHeight="1" thickBot="1">
      <c r="A622" s="1238"/>
      <c r="B622" s="1179"/>
      <c r="C622" s="1179"/>
      <c r="D622" s="1247" t="s">
        <v>476</v>
      </c>
      <c r="E622" s="1248" t="s">
        <v>320</v>
      </c>
      <c r="F622" s="1249" t="s">
        <v>438</v>
      </c>
      <c r="G622" s="1250">
        <f>G620</f>
        <v>11500</v>
      </c>
      <c r="H622" s="1251"/>
    </row>
    <row r="623" spans="1:8" s="1260" customFormat="1" ht="24.75" customHeight="1">
      <c r="A623" s="1255" t="s">
        <v>436</v>
      </c>
      <c r="B623" s="1256">
        <v>40</v>
      </c>
      <c r="C623" s="1257" t="s">
        <v>442</v>
      </c>
      <c r="D623" s="1553" t="s">
        <v>184</v>
      </c>
      <c r="E623" s="1554"/>
      <c r="F623" s="1555"/>
      <c r="G623" s="1258" t="s">
        <v>468</v>
      </c>
      <c r="H623" s="1259" t="s">
        <v>334</v>
      </c>
    </row>
    <row r="624" spans="1:8" s="1260" customFormat="1" ht="24.75" customHeight="1">
      <c r="A624" s="1543" t="s">
        <v>177</v>
      </c>
      <c r="B624" s="1544"/>
      <c r="C624" s="1261" t="s">
        <v>469</v>
      </c>
      <c r="D624" s="1262" t="s">
        <v>470</v>
      </c>
      <c r="E624" s="1263" t="s">
        <v>471</v>
      </c>
      <c r="F624" s="1264" t="s">
        <v>472</v>
      </c>
      <c r="G624" s="1265" t="s">
        <v>473</v>
      </c>
      <c r="H624" s="1266" t="s">
        <v>474</v>
      </c>
    </row>
    <row r="625" spans="1:8" s="1260" customFormat="1" ht="24.75" customHeight="1">
      <c r="A625" s="1543" t="s">
        <v>178</v>
      </c>
      <c r="B625" s="1544"/>
      <c r="C625" s="1267" t="s">
        <v>183</v>
      </c>
      <c r="D625" s="1262" t="s">
        <v>335</v>
      </c>
      <c r="E625" s="1268">
        <v>0.2</v>
      </c>
      <c r="F625" s="1269">
        <v>700</v>
      </c>
      <c r="G625" s="1269">
        <f>E625*F625</f>
        <v>140</v>
      </c>
      <c r="H625" s="1270"/>
    </row>
    <row r="626" spans="1:8" s="1260" customFormat="1" ht="24.75" customHeight="1">
      <c r="A626" s="1543" t="s">
        <v>179</v>
      </c>
      <c r="B626" s="1544"/>
      <c r="C626" s="1261"/>
      <c r="D626" s="1262" t="s">
        <v>336</v>
      </c>
      <c r="E626" s="1268">
        <v>0.2</v>
      </c>
      <c r="F626" s="1269">
        <v>580</v>
      </c>
      <c r="G626" s="1269">
        <f>E626*F626</f>
        <v>116</v>
      </c>
      <c r="H626" s="1270"/>
    </row>
    <row r="627" spans="1:8" s="1260" customFormat="1" ht="24.75" customHeight="1">
      <c r="A627" s="1543" t="s">
        <v>229</v>
      </c>
      <c r="B627" s="1544"/>
      <c r="C627" s="1261"/>
      <c r="D627" s="1262" t="s">
        <v>1181</v>
      </c>
      <c r="E627" s="1268">
        <v>0.1</v>
      </c>
      <c r="F627" s="1269">
        <v>900</v>
      </c>
      <c r="G627" s="1269">
        <f>E627*F627</f>
        <v>90</v>
      </c>
      <c r="H627" s="1271"/>
    </row>
    <row r="628" spans="1:8" s="1260" customFormat="1" ht="24.75" customHeight="1">
      <c r="A628" s="1543" t="s">
        <v>180</v>
      </c>
      <c r="B628" s="1544"/>
      <c r="C628" s="1261"/>
      <c r="D628" s="1262" t="s">
        <v>1181</v>
      </c>
      <c r="E628" s="1268">
        <v>0.05</v>
      </c>
      <c r="F628" s="1269">
        <v>800</v>
      </c>
      <c r="G628" s="1269">
        <f>E628*F628</f>
        <v>40</v>
      </c>
      <c r="H628" s="1271"/>
    </row>
    <row r="629" spans="1:8" s="1260" customFormat="1" ht="24.75" customHeight="1">
      <c r="A629" s="1543" t="s">
        <v>182</v>
      </c>
      <c r="B629" s="1544"/>
      <c r="C629" s="1261"/>
      <c r="D629" s="1262" t="s">
        <v>335</v>
      </c>
      <c r="E629" s="1268">
        <v>0.15</v>
      </c>
      <c r="F629" s="1269">
        <v>2380</v>
      </c>
      <c r="G629" s="1269">
        <f>E629*F629</f>
        <v>357</v>
      </c>
      <c r="H629" s="1272" t="s">
        <v>339</v>
      </c>
    </row>
    <row r="630" spans="1:8" s="1260" customFormat="1" ht="24.75" customHeight="1">
      <c r="A630" s="1543" t="s">
        <v>181</v>
      </c>
      <c r="B630" s="1544"/>
      <c r="C630" s="1273"/>
      <c r="D630" s="1262" t="s">
        <v>337</v>
      </c>
      <c r="E630" s="1268">
        <v>1</v>
      </c>
      <c r="F630" s="1269">
        <v>36.6</v>
      </c>
      <c r="G630" s="1269">
        <v>37</v>
      </c>
      <c r="H630" s="1271"/>
    </row>
    <row r="631" spans="1:8" s="1260" customFormat="1" ht="24.75" customHeight="1">
      <c r="A631" s="1543" t="s">
        <v>1039</v>
      </c>
      <c r="B631" s="1544"/>
      <c r="C631" s="1274"/>
      <c r="D631" s="1262"/>
      <c r="E631" s="1268"/>
      <c r="F631" s="1269"/>
      <c r="G631" s="1269">
        <f>SUM(G625:G630)</f>
        <v>780</v>
      </c>
      <c r="H631" s="1271"/>
    </row>
    <row r="632" spans="1:8" s="1260" customFormat="1" ht="24.75" customHeight="1">
      <c r="A632" s="1275"/>
      <c r="B632" s="1276"/>
      <c r="C632" s="1274"/>
      <c r="D632" s="1262"/>
      <c r="E632" s="1268"/>
      <c r="F632" s="1269"/>
      <c r="G632" s="1277"/>
      <c r="H632" s="1278"/>
    </row>
    <row r="633" spans="1:8" s="1260" customFormat="1" ht="24.75" customHeight="1">
      <c r="A633" s="1275"/>
      <c r="B633" s="1276"/>
      <c r="C633" s="1274"/>
      <c r="D633" s="1262"/>
      <c r="E633" s="1268"/>
      <c r="F633" s="1269"/>
      <c r="G633" s="1277"/>
      <c r="H633" s="1278"/>
    </row>
    <row r="634" spans="1:8" s="1260" customFormat="1" ht="24.75" customHeight="1" thickBot="1">
      <c r="A634" s="1279"/>
      <c r="B634" s="1280"/>
      <c r="C634" s="1280"/>
      <c r="D634" s="1281" t="s">
        <v>601</v>
      </c>
      <c r="E634" s="1282" t="s">
        <v>338</v>
      </c>
      <c r="F634" s="1283" t="s">
        <v>438</v>
      </c>
      <c r="G634" s="1284">
        <f>G631</f>
        <v>780</v>
      </c>
      <c r="H634" s="1285"/>
    </row>
    <row r="635" spans="1:8" s="1260" customFormat="1" ht="24.75" customHeight="1">
      <c r="A635" s="1286"/>
      <c r="B635" s="1286"/>
      <c r="C635" s="1286"/>
      <c r="D635" s="1287"/>
      <c r="E635" s="1288"/>
      <c r="F635" s="1289"/>
      <c r="G635" s="1290"/>
      <c r="H635" s="1291"/>
    </row>
    <row r="636" spans="1:8" ht="24.75" customHeight="1">
      <c r="A636" s="29" t="s">
        <v>457</v>
      </c>
      <c r="B636" s="29"/>
      <c r="C636" s="29"/>
      <c r="D636" s="29"/>
      <c r="E636" s="29" t="s">
        <v>458</v>
      </c>
      <c r="F636" s="29"/>
      <c r="G636" s="29"/>
      <c r="H636" s="29"/>
    </row>
    <row r="637" spans="1:8" ht="24.75" customHeight="1">
      <c r="A637" s="238" t="str">
        <f>A574</f>
        <v>經濟部水利署第十河川局</v>
      </c>
      <c r="B637" s="430"/>
      <c r="C637" s="430"/>
      <c r="D637" s="430"/>
      <c r="E637" s="430"/>
      <c r="F637" s="430"/>
      <c r="G637" s="430"/>
      <c r="H637" s="430"/>
    </row>
    <row r="638" spans="1:8" ht="24.75" customHeight="1">
      <c r="A638" s="239" t="str">
        <f>A575</f>
        <v>單  價  分  析  表</v>
      </c>
      <c r="B638" s="430"/>
      <c r="C638" s="430"/>
      <c r="D638" s="430"/>
      <c r="E638" s="430"/>
      <c r="F638" s="430"/>
      <c r="G638" s="430"/>
      <c r="H638" s="430"/>
    </row>
    <row r="639" spans="1:8" ht="24.75" customHeight="1">
      <c r="A639" s="1510" t="str">
        <f>A576</f>
        <v>工程名稱:基隆河整體治理計劃（前期計劃）瑞芳區塊介壽橋下游左右岸護岸工程</v>
      </c>
      <c r="B639" s="1510"/>
      <c r="C639" s="1510"/>
      <c r="D639" s="1510"/>
      <c r="E639" s="1510"/>
      <c r="F639" s="1510"/>
      <c r="G639" s="1510"/>
      <c r="H639" s="253" t="s">
        <v>1065</v>
      </c>
    </row>
    <row r="640" spans="1:8" ht="24.75" customHeight="1" thickBot="1">
      <c r="A640" s="1545" t="str">
        <f>A577</f>
        <v>施工地點：台北縣瑞芳鎮</v>
      </c>
      <c r="B640" s="1545"/>
      <c r="C640" s="1545"/>
      <c r="D640" s="1545"/>
      <c r="E640" s="431"/>
      <c r="F640" s="431"/>
      <c r="G640" s="1546" t="s">
        <v>11</v>
      </c>
      <c r="H640" s="1546"/>
    </row>
    <row r="641" spans="1:8" ht="24.75" customHeight="1">
      <c r="A641" s="341" t="s">
        <v>436</v>
      </c>
      <c r="B641" s="342">
        <v>41</v>
      </c>
      <c r="C641" s="1292" t="s">
        <v>442</v>
      </c>
      <c r="D641" s="1556" t="s">
        <v>185</v>
      </c>
      <c r="E641" s="1557"/>
      <c r="F641" s="1558"/>
      <c r="G641" s="52" t="s">
        <v>468</v>
      </c>
      <c r="H641" s="1252" t="s">
        <v>340</v>
      </c>
    </row>
    <row r="642" spans="1:8" ht="24.75" customHeight="1">
      <c r="A642" s="1534" t="s">
        <v>559</v>
      </c>
      <c r="B642" s="1547"/>
      <c r="C642" s="50" t="s">
        <v>469</v>
      </c>
      <c r="D642" s="50" t="s">
        <v>470</v>
      </c>
      <c r="E642" s="38" t="s">
        <v>471</v>
      </c>
      <c r="F642" s="38" t="s">
        <v>472</v>
      </c>
      <c r="G642" s="38" t="s">
        <v>473</v>
      </c>
      <c r="H642" s="898" t="s">
        <v>446</v>
      </c>
    </row>
    <row r="643" spans="1:8" ht="24.75" customHeight="1">
      <c r="A643" s="1548" t="s">
        <v>186</v>
      </c>
      <c r="B643" s="1549"/>
      <c r="C643" s="421" t="s">
        <v>341</v>
      </c>
      <c r="D643" s="758" t="s">
        <v>1246</v>
      </c>
      <c r="E643" s="1254">
        <v>1</v>
      </c>
      <c r="F643" s="48">
        <v>260</v>
      </c>
      <c r="G643" s="48">
        <f>E643*F643</f>
        <v>260</v>
      </c>
      <c r="H643" s="46"/>
    </row>
    <row r="644" spans="1:8" ht="24.75" customHeight="1">
      <c r="A644" s="1548" t="s">
        <v>163</v>
      </c>
      <c r="B644" s="1549"/>
      <c r="C644" s="329"/>
      <c r="D644" s="1091" t="s">
        <v>340</v>
      </c>
      <c r="E644" s="219">
        <v>1</v>
      </c>
      <c r="F644" s="48">
        <v>30</v>
      </c>
      <c r="G644" s="48">
        <f>E644*F644</f>
        <v>30</v>
      </c>
      <c r="H644" s="348"/>
    </row>
    <row r="645" spans="1:8" ht="24.75" customHeight="1">
      <c r="A645" s="1548" t="s">
        <v>342</v>
      </c>
      <c r="B645" s="1549"/>
      <c r="C645" s="1253"/>
      <c r="D645" s="40" t="s">
        <v>343</v>
      </c>
      <c r="E645" s="219">
        <v>1</v>
      </c>
      <c r="F645" s="48" t="s">
        <v>344</v>
      </c>
      <c r="G645" s="48">
        <v>10</v>
      </c>
      <c r="H645" s="996"/>
    </row>
    <row r="646" spans="1:8" ht="24.75" customHeight="1">
      <c r="A646" s="1539" t="s">
        <v>1039</v>
      </c>
      <c r="B646" s="1540"/>
      <c r="C646" s="1253"/>
      <c r="D646" s="1091"/>
      <c r="E646" s="48"/>
      <c r="F646" s="48"/>
      <c r="G646" s="48">
        <f>SUM(G643:G645)</f>
        <v>300</v>
      </c>
      <c r="H646" s="384"/>
    </row>
    <row r="647" spans="1:8" ht="24.75" customHeight="1">
      <c r="A647" s="1541"/>
      <c r="B647" s="1542"/>
      <c r="C647" s="49"/>
      <c r="D647" s="40"/>
      <c r="E647" s="330"/>
      <c r="F647" s="332"/>
      <c r="G647" s="48"/>
      <c r="H647" s="46"/>
    </row>
    <row r="648" spans="1:8" ht="24.75" customHeight="1">
      <c r="A648" s="427"/>
      <c r="B648" s="333"/>
      <c r="C648" s="49"/>
      <c r="D648" s="40"/>
      <c r="E648" s="330"/>
      <c r="F648" s="332"/>
      <c r="G648" s="48"/>
      <c r="H648" s="47"/>
    </row>
    <row r="649" spans="1:8" ht="24.75" customHeight="1">
      <c r="A649" s="1020"/>
      <c r="B649" s="333"/>
      <c r="C649" s="49"/>
      <c r="D649" s="40"/>
      <c r="E649" s="48"/>
      <c r="F649" s="48"/>
      <c r="G649" s="48"/>
      <c r="H649" s="47"/>
    </row>
    <row r="650" spans="1:8" ht="24.75" customHeight="1">
      <c r="A650" s="327"/>
      <c r="B650" s="333"/>
      <c r="C650" s="335"/>
      <c r="D650" s="50"/>
      <c r="E650" s="336"/>
      <c r="F650" s="336"/>
      <c r="G650" s="336"/>
      <c r="H650" s="47"/>
    </row>
    <row r="651" spans="1:8" ht="24.75" customHeight="1" thickBot="1">
      <c r="A651" s="337"/>
      <c r="B651" s="338"/>
      <c r="C651" s="338"/>
      <c r="D651" s="1293" t="s">
        <v>476</v>
      </c>
      <c r="E651" s="1019" t="str">
        <f>H641</f>
        <v>M</v>
      </c>
      <c r="F651" s="1095" t="s">
        <v>438</v>
      </c>
      <c r="G651" s="354">
        <f>G646</f>
        <v>300</v>
      </c>
      <c r="H651" s="340"/>
    </row>
    <row r="652" spans="1:8" ht="24.75" customHeight="1">
      <c r="A652" s="358" t="s">
        <v>436</v>
      </c>
      <c r="B652" s="359">
        <v>42</v>
      </c>
      <c r="C652" s="344" t="s">
        <v>442</v>
      </c>
      <c r="D652" s="1550" t="s">
        <v>345</v>
      </c>
      <c r="E652" s="1551"/>
      <c r="F652" s="1552"/>
      <c r="G652" s="360" t="s">
        <v>468</v>
      </c>
      <c r="H652" s="423" t="s">
        <v>995</v>
      </c>
    </row>
    <row r="653" spans="1:8" ht="24.75" customHeight="1">
      <c r="A653" s="220" t="s">
        <v>996</v>
      </c>
      <c r="B653" s="221"/>
      <c r="C653" s="361" t="s">
        <v>950</v>
      </c>
      <c r="D653" s="361" t="s">
        <v>470</v>
      </c>
      <c r="E653" s="362" t="s">
        <v>471</v>
      </c>
      <c r="F653" s="408" t="s">
        <v>472</v>
      </c>
      <c r="G653" s="362" t="s">
        <v>473</v>
      </c>
      <c r="H653" s="363" t="s">
        <v>474</v>
      </c>
    </row>
    <row r="654" spans="1:8" ht="24.75" customHeight="1">
      <c r="A654" s="1532" t="s">
        <v>136</v>
      </c>
      <c r="B654" s="1538"/>
      <c r="C654" s="958" t="s">
        <v>997</v>
      </c>
      <c r="D654" s="889" t="s">
        <v>998</v>
      </c>
      <c r="E654" s="48">
        <v>12.8</v>
      </c>
      <c r="F654" s="48">
        <f>G173</f>
        <v>280</v>
      </c>
      <c r="G654" s="48">
        <f>E654*F654</f>
        <v>3584</v>
      </c>
      <c r="H654" s="959" t="s">
        <v>1217</v>
      </c>
    </row>
    <row r="655" spans="1:8" ht="30" customHeight="1">
      <c r="A655" s="1532" t="s">
        <v>138</v>
      </c>
      <c r="B655" s="1538"/>
      <c r="C655" s="960" t="s">
        <v>346</v>
      </c>
      <c r="D655" s="936" t="s">
        <v>1000</v>
      </c>
      <c r="E655" s="947">
        <v>18.5</v>
      </c>
      <c r="F655" s="48">
        <v>200</v>
      </c>
      <c r="G655" s="48">
        <f>E655*F655</f>
        <v>3700</v>
      </c>
      <c r="H655" s="959"/>
    </row>
    <row r="656" spans="1:8" ht="24.75" customHeight="1">
      <c r="A656" s="1532" t="s">
        <v>1001</v>
      </c>
      <c r="B656" s="1538"/>
      <c r="C656" s="961" t="s">
        <v>1002</v>
      </c>
      <c r="D656" s="936" t="s">
        <v>1003</v>
      </c>
      <c r="E656" s="48">
        <v>5.1</v>
      </c>
      <c r="F656" s="48">
        <v>30</v>
      </c>
      <c r="G656" s="48">
        <f>E656*F656</f>
        <v>153</v>
      </c>
      <c r="H656" s="959" t="s">
        <v>1004</v>
      </c>
    </row>
    <row r="657" spans="1:8" ht="24.75" customHeight="1">
      <c r="A657" s="1532" t="s">
        <v>1005</v>
      </c>
      <c r="B657" s="1538"/>
      <c r="C657" s="962" t="s">
        <v>1006</v>
      </c>
      <c r="D657" s="936" t="s">
        <v>1007</v>
      </c>
      <c r="E657" s="48">
        <v>24.4</v>
      </c>
      <c r="F657" s="48">
        <v>18</v>
      </c>
      <c r="G657" s="48">
        <f>E657*F657</f>
        <v>439.2</v>
      </c>
      <c r="H657" s="959" t="s">
        <v>1008</v>
      </c>
    </row>
    <row r="658" spans="1:8" ht="24.75" customHeight="1">
      <c r="A658" s="1532" t="s">
        <v>1009</v>
      </c>
      <c r="B658" s="1538"/>
      <c r="C658" s="963"/>
      <c r="D658" s="936" t="s">
        <v>1010</v>
      </c>
      <c r="E658" s="330">
        <v>1</v>
      </c>
      <c r="F658" s="48" t="s">
        <v>1011</v>
      </c>
      <c r="G658" s="48">
        <v>43.8</v>
      </c>
      <c r="H658" s="363"/>
    </row>
    <row r="659" spans="1:8" ht="24.75" customHeight="1">
      <c r="A659" s="1532" t="s">
        <v>1012</v>
      </c>
      <c r="B659" s="1538"/>
      <c r="C659" s="365"/>
      <c r="D659" s="366"/>
      <c r="E659" s="367"/>
      <c r="F659" s="368"/>
      <c r="G659" s="368">
        <f>SUM(G654:G658)</f>
        <v>7920</v>
      </c>
      <c r="H659" s="363"/>
    </row>
    <row r="660" spans="1:8" ht="24.75" customHeight="1">
      <c r="A660" s="416"/>
      <c r="B660" s="944"/>
      <c r="C660" s="365"/>
      <c r="D660" s="366"/>
      <c r="E660" s="367"/>
      <c r="F660" s="368"/>
      <c r="G660" s="368"/>
      <c r="H660" s="363"/>
    </row>
    <row r="661" spans="1:8" ht="24.75" customHeight="1">
      <c r="A661" s="416"/>
      <c r="B661" s="944"/>
      <c r="C661" s="365"/>
      <c r="D661" s="366"/>
      <c r="E661" s="367"/>
      <c r="F661" s="368"/>
      <c r="G661" s="368"/>
      <c r="H661" s="363"/>
    </row>
    <row r="662" spans="1:8" ht="24.75" customHeight="1">
      <c r="A662" s="416"/>
      <c r="B662" s="944"/>
      <c r="C662" s="365"/>
      <c r="D662" s="366"/>
      <c r="E662" s="367"/>
      <c r="F662" s="368"/>
      <c r="G662" s="368"/>
      <c r="H662" s="363"/>
    </row>
    <row r="663" spans="1:8" ht="24.75" customHeight="1">
      <c r="A663" s="416"/>
      <c r="B663" s="944"/>
      <c r="C663" s="365"/>
      <c r="D663" s="366"/>
      <c r="E663" s="367"/>
      <c r="F663" s="368"/>
      <c r="G663" s="368"/>
      <c r="H663" s="363"/>
    </row>
    <row r="664" spans="1:8" ht="24.75" customHeight="1">
      <c r="A664" s="1532"/>
      <c r="B664" s="1538"/>
      <c r="C664" s="369"/>
      <c r="D664" s="362"/>
      <c r="E664" s="370"/>
      <c r="F664" s="368"/>
      <c r="G664" s="368"/>
      <c r="H664" s="364"/>
    </row>
    <row r="665" spans="1:8" ht="24.75" customHeight="1" thickBot="1">
      <c r="A665" s="337"/>
      <c r="B665" s="338"/>
      <c r="C665" s="338"/>
      <c r="D665" s="353" t="s">
        <v>476</v>
      </c>
      <c r="E665" s="339" t="s">
        <v>1013</v>
      </c>
      <c r="F665" s="439" t="s">
        <v>438</v>
      </c>
      <c r="G665" s="957">
        <f>G659</f>
        <v>7920</v>
      </c>
      <c r="H665" s="382"/>
    </row>
    <row r="666" spans="1:8" ht="24.75" customHeight="1">
      <c r="A666" s="227"/>
      <c r="B666" s="29"/>
      <c r="C666" s="227"/>
      <c r="D666" s="227"/>
      <c r="E666" s="227"/>
      <c r="F666" s="227"/>
      <c r="G666" s="227"/>
      <c r="H666" s="29"/>
    </row>
    <row r="667" spans="1:8" ht="24.75" customHeight="1">
      <c r="A667" s="29" t="s">
        <v>457</v>
      </c>
      <c r="B667" s="29"/>
      <c r="C667" s="29"/>
      <c r="D667" s="29"/>
      <c r="E667" s="29" t="s">
        <v>458</v>
      </c>
      <c r="F667" s="29"/>
      <c r="G667" s="29"/>
      <c r="H667" s="29"/>
    </row>
    <row r="668" spans="1:8" ht="24.75" customHeight="1">
      <c r="A668" s="238" t="str">
        <f>A605</f>
        <v>經濟部水利署第十河川局</v>
      </c>
      <c r="B668" s="430"/>
      <c r="C668" s="430"/>
      <c r="D668" s="430"/>
      <c r="E668" s="430"/>
      <c r="F668" s="430"/>
      <c r="G668" s="430"/>
      <c r="H668" s="430"/>
    </row>
    <row r="669" spans="1:8" ht="24.75" customHeight="1">
      <c r="A669" s="239" t="str">
        <f>A606</f>
        <v>單  價  分  析  表</v>
      </c>
      <c r="B669" s="430"/>
      <c r="C669" s="430"/>
      <c r="D669" s="430"/>
      <c r="E669" s="430"/>
      <c r="F669" s="430"/>
      <c r="G669" s="430"/>
      <c r="H669" s="430"/>
    </row>
    <row r="670" spans="1:8" ht="24.75" customHeight="1">
      <c r="A670" s="1510" t="str">
        <f>A607</f>
        <v>工程名稱:基隆河整體治理計劃（前期計劃）瑞芳區塊介壽橋下游左右岸護岸工程</v>
      </c>
      <c r="B670" s="1510"/>
      <c r="C670" s="1510"/>
      <c r="D670" s="1510"/>
      <c r="E670" s="1510"/>
      <c r="F670" s="1510"/>
      <c r="G670" s="1510"/>
      <c r="H670" s="253" t="s">
        <v>1065</v>
      </c>
    </row>
    <row r="671" spans="1:8" ht="24.75" customHeight="1" thickBot="1">
      <c r="A671" s="1545" t="str">
        <f>A608</f>
        <v>施工地點：台北縣瑞芳鎮</v>
      </c>
      <c r="B671" s="1545"/>
      <c r="C671" s="1545"/>
      <c r="D671" s="1545"/>
      <c r="E671" s="431"/>
      <c r="F671" s="431"/>
      <c r="G671" s="1546" t="s">
        <v>10</v>
      </c>
      <c r="H671" s="1546"/>
    </row>
    <row r="672" spans="1:8" ht="24.75" customHeight="1">
      <c r="A672" s="358" t="s">
        <v>436</v>
      </c>
      <c r="B672" s="359">
        <v>43</v>
      </c>
      <c r="C672" s="344" t="s">
        <v>442</v>
      </c>
      <c r="D672" s="1550" t="s">
        <v>1318</v>
      </c>
      <c r="E672" s="1551"/>
      <c r="F672" s="1552"/>
      <c r="G672" s="360" t="s">
        <v>468</v>
      </c>
      <c r="H672" s="423" t="s">
        <v>995</v>
      </c>
    </row>
    <row r="673" spans="1:8" ht="24.75" customHeight="1">
      <c r="A673" s="220" t="s">
        <v>996</v>
      </c>
      <c r="B673" s="221"/>
      <c r="C673" s="361" t="s">
        <v>950</v>
      </c>
      <c r="D673" s="361" t="s">
        <v>470</v>
      </c>
      <c r="E673" s="362" t="s">
        <v>471</v>
      </c>
      <c r="F673" s="408" t="s">
        <v>472</v>
      </c>
      <c r="G673" s="362" t="s">
        <v>473</v>
      </c>
      <c r="H673" s="363" t="s">
        <v>474</v>
      </c>
    </row>
    <row r="674" spans="1:8" ht="24.75" customHeight="1">
      <c r="A674" s="1532" t="s">
        <v>136</v>
      </c>
      <c r="B674" s="1538"/>
      <c r="C674" s="958" t="s">
        <v>997</v>
      </c>
      <c r="D674" s="889" t="s">
        <v>998</v>
      </c>
      <c r="E674" s="48">
        <v>2.6</v>
      </c>
      <c r="F674" s="48">
        <f>F654</f>
        <v>280</v>
      </c>
      <c r="G674" s="48">
        <f>E674*F674</f>
        <v>728</v>
      </c>
      <c r="H674" s="959" t="s">
        <v>1217</v>
      </c>
    </row>
    <row r="675" spans="1:8" ht="30" customHeight="1">
      <c r="A675" s="1532" t="s">
        <v>138</v>
      </c>
      <c r="B675" s="1538"/>
      <c r="C675" s="960" t="s">
        <v>1322</v>
      </c>
      <c r="D675" s="936" t="s">
        <v>1000</v>
      </c>
      <c r="E675" s="947">
        <v>2.54</v>
      </c>
      <c r="F675" s="48">
        <v>200</v>
      </c>
      <c r="G675" s="48">
        <f>E675*F675</f>
        <v>508</v>
      </c>
      <c r="H675" s="959"/>
    </row>
    <row r="676" spans="1:8" ht="24.75" customHeight="1">
      <c r="A676" s="1532" t="s">
        <v>1001</v>
      </c>
      <c r="B676" s="1538"/>
      <c r="C676" s="961" t="s">
        <v>1319</v>
      </c>
      <c r="D676" s="936" t="s">
        <v>1003</v>
      </c>
      <c r="E676" s="48">
        <v>0.52</v>
      </c>
      <c r="F676" s="48">
        <v>30</v>
      </c>
      <c r="G676" s="48">
        <f>E676*F676</f>
        <v>15.6</v>
      </c>
      <c r="H676" s="959" t="s">
        <v>1004</v>
      </c>
    </row>
    <row r="677" spans="1:8" ht="24.75" customHeight="1">
      <c r="A677" s="1532" t="s">
        <v>1005</v>
      </c>
      <c r="B677" s="1538"/>
      <c r="C677" s="962" t="s">
        <v>1006</v>
      </c>
      <c r="D677" s="936" t="s">
        <v>1007</v>
      </c>
      <c r="E677" s="48">
        <v>0.9</v>
      </c>
      <c r="F677" s="48">
        <v>18</v>
      </c>
      <c r="G677" s="48">
        <f>E677*F677</f>
        <v>16.2</v>
      </c>
      <c r="H677" s="959" t="s">
        <v>1008</v>
      </c>
    </row>
    <row r="678" spans="1:8" ht="24.75" customHeight="1">
      <c r="A678" s="1532" t="s">
        <v>1009</v>
      </c>
      <c r="B678" s="1538"/>
      <c r="C678" s="963"/>
      <c r="D678" s="936" t="s">
        <v>1010</v>
      </c>
      <c r="E678" s="330">
        <v>1</v>
      </c>
      <c r="F678" s="48" t="s">
        <v>1011</v>
      </c>
      <c r="G678" s="48">
        <v>32.2</v>
      </c>
      <c r="H678" s="363"/>
    </row>
    <row r="679" spans="1:8" ht="24.75" customHeight="1">
      <c r="A679" s="1532" t="s">
        <v>1012</v>
      </c>
      <c r="B679" s="1538"/>
      <c r="C679" s="365"/>
      <c r="D679" s="366"/>
      <c r="E679" s="367"/>
      <c r="F679" s="368"/>
      <c r="G679" s="368">
        <f>SUM(G674:G678)</f>
        <v>1300</v>
      </c>
      <c r="H679" s="363"/>
    </row>
    <row r="680" spans="1:8" ht="24.75" customHeight="1">
      <c r="A680" s="416"/>
      <c r="B680" s="944"/>
      <c r="C680" s="365"/>
      <c r="D680" s="366"/>
      <c r="E680" s="367"/>
      <c r="F680" s="368"/>
      <c r="G680" s="368"/>
      <c r="H680" s="363"/>
    </row>
    <row r="681" spans="1:8" ht="24.75" customHeight="1">
      <c r="A681" s="416"/>
      <c r="B681" s="944"/>
      <c r="C681" s="365"/>
      <c r="D681" s="366"/>
      <c r="E681" s="367"/>
      <c r="F681" s="368"/>
      <c r="G681" s="368"/>
      <c r="H681" s="363"/>
    </row>
    <row r="682" spans="1:8" ht="24.75" customHeight="1">
      <c r="A682" s="416"/>
      <c r="B682" s="944"/>
      <c r="C682" s="365"/>
      <c r="D682" s="366"/>
      <c r="E682" s="367"/>
      <c r="F682" s="368"/>
      <c r="G682" s="368"/>
      <c r="H682" s="363"/>
    </row>
    <row r="683" spans="1:8" ht="24.75" customHeight="1">
      <c r="A683" s="1532"/>
      <c r="B683" s="1538"/>
      <c r="C683" s="369"/>
      <c r="D683" s="362"/>
      <c r="E683" s="370"/>
      <c r="F683" s="368"/>
      <c r="G683" s="368"/>
      <c r="H683" s="364"/>
    </row>
    <row r="684" spans="1:8" ht="24.75" customHeight="1" thickBot="1">
      <c r="A684" s="337"/>
      <c r="B684" s="338"/>
      <c r="C684" s="338"/>
      <c r="D684" s="353" t="s">
        <v>476</v>
      </c>
      <c r="E684" s="339" t="s">
        <v>1013</v>
      </c>
      <c r="F684" s="439" t="s">
        <v>438</v>
      </c>
      <c r="G684" s="957">
        <f>G679</f>
        <v>1300</v>
      </c>
      <c r="H684" s="382"/>
    </row>
    <row r="685" spans="1:8" ht="24.75" customHeight="1">
      <c r="A685" s="358" t="s">
        <v>436</v>
      </c>
      <c r="B685" s="359">
        <v>44</v>
      </c>
      <c r="C685" s="344" t="s">
        <v>442</v>
      </c>
      <c r="D685" s="1550" t="s">
        <v>1320</v>
      </c>
      <c r="E685" s="1551"/>
      <c r="F685" s="1552"/>
      <c r="G685" s="360" t="s">
        <v>468</v>
      </c>
      <c r="H685" s="423" t="s">
        <v>995</v>
      </c>
    </row>
    <row r="686" spans="1:8" ht="24.75" customHeight="1">
      <c r="A686" s="220" t="s">
        <v>996</v>
      </c>
      <c r="B686" s="221"/>
      <c r="C686" s="361" t="s">
        <v>950</v>
      </c>
      <c r="D686" s="361" t="s">
        <v>470</v>
      </c>
      <c r="E686" s="362" t="s">
        <v>471</v>
      </c>
      <c r="F686" s="408" t="s">
        <v>472</v>
      </c>
      <c r="G686" s="362" t="s">
        <v>473</v>
      </c>
      <c r="H686" s="363" t="s">
        <v>474</v>
      </c>
    </row>
    <row r="687" spans="1:8" ht="24.75" customHeight="1">
      <c r="A687" s="1532" t="s">
        <v>136</v>
      </c>
      <c r="B687" s="1538"/>
      <c r="C687" s="958" t="s">
        <v>997</v>
      </c>
      <c r="D687" s="889" t="s">
        <v>998</v>
      </c>
      <c r="E687" s="48">
        <v>2.4</v>
      </c>
      <c r="F687" s="48">
        <f>F654</f>
        <v>280</v>
      </c>
      <c r="G687" s="48">
        <f>E687*F687</f>
        <v>672</v>
      </c>
      <c r="H687" s="959" t="s">
        <v>1217</v>
      </c>
    </row>
    <row r="688" spans="1:8" ht="30" customHeight="1">
      <c r="A688" s="1532" t="s">
        <v>138</v>
      </c>
      <c r="B688" s="1538"/>
      <c r="C688" s="960" t="s">
        <v>1321</v>
      </c>
      <c r="D688" s="936" t="s">
        <v>1000</v>
      </c>
      <c r="E688" s="947">
        <v>2.14</v>
      </c>
      <c r="F688" s="48">
        <v>200</v>
      </c>
      <c r="G688" s="48">
        <f>E688*F688</f>
        <v>428</v>
      </c>
      <c r="H688" s="959"/>
    </row>
    <row r="689" spans="1:8" ht="24.75" customHeight="1">
      <c r="A689" s="1532" t="s">
        <v>1001</v>
      </c>
      <c r="B689" s="1538"/>
      <c r="C689" s="961" t="s">
        <v>1319</v>
      </c>
      <c r="D689" s="936" t="s">
        <v>1003</v>
      </c>
      <c r="E689" s="48">
        <v>0.48</v>
      </c>
      <c r="F689" s="48">
        <v>30</v>
      </c>
      <c r="G689" s="48">
        <f>E689*F689</f>
        <v>14.4</v>
      </c>
      <c r="H689" s="959" t="s">
        <v>1004</v>
      </c>
    </row>
    <row r="690" spans="1:8" ht="24.75" customHeight="1">
      <c r="A690" s="1532" t="s">
        <v>1005</v>
      </c>
      <c r="B690" s="1538"/>
      <c r="C690" s="962" t="s">
        <v>1006</v>
      </c>
      <c r="D690" s="936" t="s">
        <v>1007</v>
      </c>
      <c r="E690" s="48">
        <v>0.9</v>
      </c>
      <c r="F690" s="48">
        <v>18</v>
      </c>
      <c r="G690" s="48">
        <f>E690*F690</f>
        <v>16.2</v>
      </c>
      <c r="H690" s="959" t="s">
        <v>1008</v>
      </c>
    </row>
    <row r="691" spans="1:8" ht="24.75" customHeight="1">
      <c r="A691" s="1532" t="s">
        <v>1009</v>
      </c>
      <c r="B691" s="1538"/>
      <c r="C691" s="963"/>
      <c r="D691" s="936" t="s">
        <v>1010</v>
      </c>
      <c r="E691" s="330">
        <v>1</v>
      </c>
      <c r="F691" s="48" t="s">
        <v>1011</v>
      </c>
      <c r="G691" s="48">
        <v>39.4</v>
      </c>
      <c r="H691" s="363"/>
    </row>
    <row r="692" spans="1:8" ht="24.75" customHeight="1">
      <c r="A692" s="1532" t="s">
        <v>1012</v>
      </c>
      <c r="B692" s="1538"/>
      <c r="C692" s="365"/>
      <c r="D692" s="366"/>
      <c r="E692" s="367"/>
      <c r="F692" s="368"/>
      <c r="G692" s="368">
        <f>SUM(G687:G691)</f>
        <v>1170</v>
      </c>
      <c r="H692" s="363"/>
    </row>
    <row r="693" spans="1:8" ht="24.75" customHeight="1">
      <c r="A693" s="416"/>
      <c r="B693" s="944"/>
      <c r="C693" s="365"/>
      <c r="D693" s="366"/>
      <c r="E693" s="367"/>
      <c r="F693" s="368"/>
      <c r="G693" s="368"/>
      <c r="H693" s="363"/>
    </row>
    <row r="694" spans="1:8" ht="24.75" customHeight="1">
      <c r="A694" s="416"/>
      <c r="B694" s="944"/>
      <c r="C694" s="365"/>
      <c r="D694" s="366"/>
      <c r="E694" s="367"/>
      <c r="F694" s="368"/>
      <c r="G694" s="368"/>
      <c r="H694" s="363"/>
    </row>
    <row r="695" spans="1:8" ht="24.75" customHeight="1">
      <c r="A695" s="1532"/>
      <c r="B695" s="1538"/>
      <c r="C695" s="369"/>
      <c r="D695" s="362"/>
      <c r="E695" s="370"/>
      <c r="F695" s="368"/>
      <c r="G695" s="368"/>
      <c r="H695" s="364"/>
    </row>
    <row r="696" spans="1:8" ht="24.75" customHeight="1" thickBot="1">
      <c r="A696" s="337"/>
      <c r="B696" s="338"/>
      <c r="C696" s="338"/>
      <c r="D696" s="353" t="s">
        <v>476</v>
      </c>
      <c r="E696" s="339" t="s">
        <v>1013</v>
      </c>
      <c r="F696" s="439" t="s">
        <v>438</v>
      </c>
      <c r="G696" s="957">
        <f>G692</f>
        <v>1170</v>
      </c>
      <c r="H696" s="382"/>
    </row>
    <row r="697" spans="1:8" ht="24.75" customHeight="1">
      <c r="A697" s="227"/>
      <c r="B697" s="29"/>
      <c r="C697" s="227"/>
      <c r="D697" s="227"/>
      <c r="E697" s="227"/>
      <c r="F697" s="227"/>
      <c r="G697" s="227"/>
      <c r="H697" s="29"/>
    </row>
    <row r="698" spans="1:8" ht="24.75" customHeight="1">
      <c r="A698" s="29" t="s">
        <v>457</v>
      </c>
      <c r="B698" s="29"/>
      <c r="C698" s="29"/>
      <c r="D698" s="29"/>
      <c r="E698" s="29" t="s">
        <v>458</v>
      </c>
      <c r="F698" s="29"/>
      <c r="G698" s="29"/>
      <c r="H698" s="29"/>
    </row>
    <row r="699" spans="1:8" ht="24.75" customHeight="1">
      <c r="A699" s="238" t="str">
        <f>A668</f>
        <v>經濟部水利署第十河川局</v>
      </c>
      <c r="B699" s="430"/>
      <c r="C699" s="430"/>
      <c r="D699" s="430"/>
      <c r="E699" s="430"/>
      <c r="F699" s="430"/>
      <c r="G699" s="430"/>
      <c r="H699" s="430"/>
    </row>
    <row r="700" spans="1:8" ht="24.75" customHeight="1">
      <c r="A700" s="239" t="str">
        <f>A669</f>
        <v>單  價  分  析  表</v>
      </c>
      <c r="B700" s="430"/>
      <c r="C700" s="430"/>
      <c r="D700" s="430"/>
      <c r="E700" s="430"/>
      <c r="F700" s="430"/>
      <c r="G700" s="430"/>
      <c r="H700" s="430"/>
    </row>
    <row r="701" spans="1:8" ht="24.75" customHeight="1">
      <c r="A701" s="1510" t="str">
        <f>A670</f>
        <v>工程名稱:基隆河整體治理計劃（前期計劃）瑞芳區塊介壽橋下游左右岸護岸工程</v>
      </c>
      <c r="B701" s="1510"/>
      <c r="C701" s="1510"/>
      <c r="D701" s="1510"/>
      <c r="E701" s="1510"/>
      <c r="F701" s="1510"/>
      <c r="G701" s="1510"/>
      <c r="H701" s="253" t="s">
        <v>1065</v>
      </c>
    </row>
    <row r="702" spans="1:8" ht="24.75" customHeight="1" thickBot="1">
      <c r="A702" s="1545" t="str">
        <f>A671</f>
        <v>施工地點：台北縣瑞芳鎮</v>
      </c>
      <c r="B702" s="1545"/>
      <c r="C702" s="1545"/>
      <c r="D702" s="1545"/>
      <c r="E702" s="431"/>
      <c r="F702" s="431"/>
      <c r="G702" s="1546" t="s">
        <v>9</v>
      </c>
      <c r="H702" s="1546"/>
    </row>
    <row r="703" spans="1:8" ht="24.75" customHeight="1">
      <c r="A703" s="358" t="s">
        <v>436</v>
      </c>
      <c r="B703" s="359">
        <v>45</v>
      </c>
      <c r="C703" s="344" t="s">
        <v>442</v>
      </c>
      <c r="D703" s="1550" t="s">
        <v>221</v>
      </c>
      <c r="E703" s="1551"/>
      <c r="F703" s="1552"/>
      <c r="G703" s="360" t="s">
        <v>468</v>
      </c>
      <c r="H703" s="423" t="s">
        <v>223</v>
      </c>
    </row>
    <row r="704" spans="1:8" ht="24.75" customHeight="1">
      <c r="A704" s="1534" t="s">
        <v>996</v>
      </c>
      <c r="B704" s="1547"/>
      <c r="C704" s="361" t="s">
        <v>950</v>
      </c>
      <c r="D704" s="361" t="s">
        <v>470</v>
      </c>
      <c r="E704" s="362" t="s">
        <v>471</v>
      </c>
      <c r="F704" s="408" t="s">
        <v>472</v>
      </c>
      <c r="G704" s="362" t="s">
        <v>473</v>
      </c>
      <c r="H704" s="363" t="s">
        <v>474</v>
      </c>
    </row>
    <row r="705" spans="1:8" ht="24.75" customHeight="1">
      <c r="A705" s="1536" t="s">
        <v>229</v>
      </c>
      <c r="B705" s="1559" t="s">
        <v>582</v>
      </c>
      <c r="C705" s="958"/>
      <c r="D705" s="361" t="s">
        <v>467</v>
      </c>
      <c r="E705" s="362">
        <v>0.6</v>
      </c>
      <c r="F705" s="408">
        <v>900</v>
      </c>
      <c r="G705" s="362">
        <f aca="true" t="shared" si="4" ref="G705:G711">ROUND(E705*F705,2)</f>
        <v>540</v>
      </c>
      <c r="H705" s="363"/>
    </row>
    <row r="706" spans="1:8" ht="24.75" customHeight="1">
      <c r="A706" s="1536" t="s">
        <v>1081</v>
      </c>
      <c r="B706" s="1559" t="s">
        <v>224</v>
      </c>
      <c r="C706" s="960"/>
      <c r="D706" s="361" t="s">
        <v>467</v>
      </c>
      <c r="E706" s="362">
        <v>1.2</v>
      </c>
      <c r="F706" s="408">
        <v>800</v>
      </c>
      <c r="G706" s="362">
        <f t="shared" si="4"/>
        <v>960</v>
      </c>
      <c r="H706" s="363"/>
    </row>
    <row r="707" spans="1:8" ht="24.75" customHeight="1">
      <c r="A707" s="1536" t="s">
        <v>230</v>
      </c>
      <c r="B707" s="1559" t="s">
        <v>225</v>
      </c>
      <c r="C707" s="961"/>
      <c r="D707" s="361" t="s">
        <v>741</v>
      </c>
      <c r="E707" s="362">
        <v>1</v>
      </c>
      <c r="F707" s="408">
        <f>SUM(G705:G706)*0.2</f>
        <v>300</v>
      </c>
      <c r="G707" s="362">
        <f t="shared" si="4"/>
        <v>300</v>
      </c>
      <c r="H707" s="363"/>
    </row>
    <row r="708" spans="1:8" ht="24.75" customHeight="1">
      <c r="A708" s="1536" t="s">
        <v>164</v>
      </c>
      <c r="B708" s="1629" t="s">
        <v>165</v>
      </c>
      <c r="C708" s="962"/>
      <c r="D708" s="361" t="s">
        <v>222</v>
      </c>
      <c r="E708" s="362">
        <v>105</v>
      </c>
      <c r="F708" s="408">
        <v>185</v>
      </c>
      <c r="G708" s="362">
        <f t="shared" si="4"/>
        <v>19425</v>
      </c>
      <c r="H708" s="363" t="s">
        <v>235</v>
      </c>
    </row>
    <row r="709" spans="1:8" ht="24.75" customHeight="1">
      <c r="A709" s="1536" t="s">
        <v>231</v>
      </c>
      <c r="B709" s="1559" t="s">
        <v>226</v>
      </c>
      <c r="C709" s="963"/>
      <c r="D709" s="361" t="s">
        <v>1038</v>
      </c>
      <c r="E709" s="362">
        <v>1</v>
      </c>
      <c r="F709" s="408">
        <v>155</v>
      </c>
      <c r="G709" s="362">
        <f t="shared" si="4"/>
        <v>155</v>
      </c>
      <c r="H709" s="363"/>
    </row>
    <row r="710" spans="1:8" ht="24.75" customHeight="1">
      <c r="A710" s="1536" t="s">
        <v>232</v>
      </c>
      <c r="B710" s="1559" t="s">
        <v>227</v>
      </c>
      <c r="C710" s="365"/>
      <c r="D710" s="361" t="s">
        <v>599</v>
      </c>
      <c r="E710" s="362">
        <v>250</v>
      </c>
      <c r="F710" s="408">
        <v>3.5</v>
      </c>
      <c r="G710" s="362">
        <f t="shared" si="4"/>
        <v>875</v>
      </c>
      <c r="H710" s="363" t="s">
        <v>234</v>
      </c>
    </row>
    <row r="711" spans="1:8" ht="24.75" customHeight="1">
      <c r="A711" s="1536" t="s">
        <v>233</v>
      </c>
      <c r="B711" s="1559" t="s">
        <v>228</v>
      </c>
      <c r="C711" s="365"/>
      <c r="D711" s="361" t="s">
        <v>741</v>
      </c>
      <c r="E711" s="362">
        <v>1</v>
      </c>
      <c r="F711" s="408">
        <f>SUM(G705:G710)*0.02-0.1</f>
        <v>445</v>
      </c>
      <c r="G711" s="362">
        <f t="shared" si="4"/>
        <v>445</v>
      </c>
      <c r="H711" s="363"/>
    </row>
    <row r="712" spans="1:8" ht="24.75" customHeight="1">
      <c r="A712" s="1532" t="s">
        <v>1012</v>
      </c>
      <c r="B712" s="1538"/>
      <c r="C712" s="365"/>
      <c r="D712" s="361" t="s">
        <v>476</v>
      </c>
      <c r="E712" s="362">
        <v>100</v>
      </c>
      <c r="F712" s="1338" t="s">
        <v>236</v>
      </c>
      <c r="G712" s="362">
        <f>SUM(G705:G711)</f>
        <v>22700</v>
      </c>
      <c r="H712" s="363"/>
    </row>
    <row r="713" spans="1:8" ht="24.75" customHeight="1">
      <c r="A713" s="416"/>
      <c r="B713" s="944"/>
      <c r="C713" s="365"/>
      <c r="D713" s="366"/>
      <c r="E713" s="367"/>
      <c r="F713" s="368"/>
      <c r="G713" s="368"/>
      <c r="H713" s="363"/>
    </row>
    <row r="714" spans="1:8" ht="24.75" customHeight="1">
      <c r="A714" s="1532"/>
      <c r="B714" s="1538"/>
      <c r="C714" s="369"/>
      <c r="D714" s="362"/>
      <c r="E714" s="370"/>
      <c r="F714" s="368"/>
      <c r="G714" s="368"/>
      <c r="H714" s="364"/>
    </row>
    <row r="715" spans="1:8" ht="24.75" customHeight="1" thickBot="1">
      <c r="A715" s="337"/>
      <c r="B715" s="338"/>
      <c r="C715" s="338"/>
      <c r="D715" s="353" t="s">
        <v>476</v>
      </c>
      <c r="E715" s="339" t="s">
        <v>271</v>
      </c>
      <c r="F715" s="439" t="s">
        <v>438</v>
      </c>
      <c r="G715" s="957">
        <f>G712/100</f>
        <v>227</v>
      </c>
      <c r="H715" s="382"/>
    </row>
    <row r="716" spans="1:8" ht="24.75" customHeight="1">
      <c r="A716" s="358" t="s">
        <v>436</v>
      </c>
      <c r="B716" s="359">
        <v>46</v>
      </c>
      <c r="C716" s="344" t="s">
        <v>442</v>
      </c>
      <c r="D716" s="1550" t="s">
        <v>237</v>
      </c>
      <c r="E716" s="1551"/>
      <c r="F716" s="1552"/>
      <c r="G716" s="360" t="s">
        <v>468</v>
      </c>
      <c r="H716" s="423" t="s">
        <v>243</v>
      </c>
    </row>
    <row r="717" spans="1:8" ht="24.75" customHeight="1">
      <c r="A717" s="220" t="s">
        <v>996</v>
      </c>
      <c r="B717" s="221"/>
      <c r="C717" s="361" t="s">
        <v>950</v>
      </c>
      <c r="D717" s="361" t="s">
        <v>470</v>
      </c>
      <c r="E717" s="362" t="s">
        <v>471</v>
      </c>
      <c r="F717" s="408" t="s">
        <v>472</v>
      </c>
      <c r="G717" s="362" t="s">
        <v>473</v>
      </c>
      <c r="H717" s="363" t="s">
        <v>474</v>
      </c>
    </row>
    <row r="718" spans="1:8" ht="24.75" customHeight="1">
      <c r="A718" s="1630" t="s">
        <v>240</v>
      </c>
      <c r="B718" s="1629"/>
      <c r="C718" s="958"/>
      <c r="D718" s="1339" t="s">
        <v>467</v>
      </c>
      <c r="E718" s="1340">
        <v>3</v>
      </c>
      <c r="F718" s="1340">
        <v>900</v>
      </c>
      <c r="G718" s="1340">
        <f aca="true" t="shared" si="5" ref="G718:G723">ROUND(E718*F718,2)</f>
        <v>2700</v>
      </c>
      <c r="H718" s="1342"/>
    </row>
    <row r="719" spans="1:8" ht="24.75" customHeight="1">
      <c r="A719" s="1630" t="s">
        <v>224</v>
      </c>
      <c r="B719" s="1629" t="s">
        <v>224</v>
      </c>
      <c r="C719" s="960"/>
      <c r="D719" s="1339" t="s">
        <v>467</v>
      </c>
      <c r="E719" s="1340">
        <v>1</v>
      </c>
      <c r="F719" s="1340">
        <v>800</v>
      </c>
      <c r="G719" s="1340">
        <f t="shared" si="5"/>
        <v>800</v>
      </c>
      <c r="H719" s="1342"/>
    </row>
    <row r="720" spans="1:8" ht="24.75" customHeight="1">
      <c r="A720" s="1630" t="s">
        <v>228</v>
      </c>
      <c r="B720" s="1629" t="s">
        <v>228</v>
      </c>
      <c r="C720" s="961"/>
      <c r="D720" s="1339" t="s">
        <v>741</v>
      </c>
      <c r="E720" s="1340">
        <v>1</v>
      </c>
      <c r="F720" s="1340" t="s">
        <v>786</v>
      </c>
      <c r="G720" s="1340">
        <v>450</v>
      </c>
      <c r="H720" s="1342"/>
    </row>
    <row r="721" spans="1:8" ht="24.75" customHeight="1">
      <c r="A721" s="1630" t="s">
        <v>238</v>
      </c>
      <c r="B721" s="1629" t="s">
        <v>238</v>
      </c>
      <c r="C721" s="962"/>
      <c r="D721" s="1339" t="s">
        <v>413</v>
      </c>
      <c r="E721" s="1340">
        <v>3</v>
      </c>
      <c r="F721" s="1341">
        <v>20</v>
      </c>
      <c r="G721" s="1340">
        <f t="shared" si="5"/>
        <v>60</v>
      </c>
      <c r="H721" s="1342" t="s">
        <v>242</v>
      </c>
    </row>
    <row r="722" spans="1:8" ht="24.75" customHeight="1">
      <c r="A722" s="1630" t="s">
        <v>225</v>
      </c>
      <c r="B722" s="1629" t="s">
        <v>225</v>
      </c>
      <c r="C722" s="963"/>
      <c r="D722" s="1339" t="s">
        <v>741</v>
      </c>
      <c r="E722" s="1340">
        <v>1</v>
      </c>
      <c r="F722" s="1340" t="s">
        <v>344</v>
      </c>
      <c r="G722" s="1340">
        <v>870</v>
      </c>
      <c r="H722" s="1343"/>
    </row>
    <row r="723" spans="1:8" ht="24.75" customHeight="1">
      <c r="A723" s="1630" t="s">
        <v>239</v>
      </c>
      <c r="B723" s="1629" t="s">
        <v>239</v>
      </c>
      <c r="C723" s="365"/>
      <c r="D723" s="1339" t="s">
        <v>241</v>
      </c>
      <c r="E723" s="1340">
        <v>1</v>
      </c>
      <c r="F723" s="1340">
        <v>62000</v>
      </c>
      <c r="G723" s="1340">
        <f t="shared" si="5"/>
        <v>62000</v>
      </c>
      <c r="H723" s="1343"/>
    </row>
    <row r="724" spans="1:8" ht="24.75" customHeight="1">
      <c r="A724" s="1532" t="s">
        <v>1012</v>
      </c>
      <c r="B724" s="1538"/>
      <c r="C724" s="365"/>
      <c r="D724" s="366"/>
      <c r="E724" s="367"/>
      <c r="F724" s="368"/>
      <c r="G724" s="1340">
        <f>SUM(G718:G723)</f>
        <v>66880</v>
      </c>
      <c r="H724" s="363"/>
    </row>
    <row r="725" spans="1:8" ht="24.75" customHeight="1">
      <c r="A725" s="416"/>
      <c r="B725" s="944"/>
      <c r="C725" s="365"/>
      <c r="D725" s="366"/>
      <c r="E725" s="367"/>
      <c r="F725" s="368"/>
      <c r="G725" s="368"/>
      <c r="H725" s="363"/>
    </row>
    <row r="726" spans="1:8" ht="24.75" customHeight="1">
      <c r="A726" s="1532"/>
      <c r="B726" s="1538"/>
      <c r="C726" s="369"/>
      <c r="D726" s="362"/>
      <c r="E726" s="370"/>
      <c r="F726" s="368"/>
      <c r="G726" s="368"/>
      <c r="H726" s="364"/>
    </row>
    <row r="727" spans="1:8" ht="24.75" customHeight="1" thickBot="1">
      <c r="A727" s="337"/>
      <c r="B727" s="338"/>
      <c r="C727" s="338"/>
      <c r="D727" s="353" t="s">
        <v>476</v>
      </c>
      <c r="E727" s="339" t="s">
        <v>243</v>
      </c>
      <c r="F727" s="439" t="s">
        <v>438</v>
      </c>
      <c r="G727" s="957">
        <f>G724</f>
        <v>66880</v>
      </c>
      <c r="H727" s="382"/>
    </row>
    <row r="728" spans="1:8" ht="24.75" customHeight="1">
      <c r="A728" s="227"/>
      <c r="B728" s="29"/>
      <c r="C728" s="227"/>
      <c r="D728" s="227"/>
      <c r="E728" s="227"/>
      <c r="F728" s="227"/>
      <c r="G728" s="227"/>
      <c r="H728" s="29"/>
    </row>
    <row r="729" spans="1:8" ht="24.75" customHeight="1">
      <c r="A729" s="29" t="s">
        <v>457</v>
      </c>
      <c r="B729" s="29"/>
      <c r="C729" s="29"/>
      <c r="D729" s="29"/>
      <c r="E729" s="29" t="s">
        <v>458</v>
      </c>
      <c r="F729" s="29"/>
      <c r="G729" s="29"/>
      <c r="H729" s="29"/>
    </row>
    <row r="730" spans="1:8" ht="24.75" customHeight="1">
      <c r="A730" s="238" t="str">
        <f>A699</f>
        <v>經濟部水利署第十河川局</v>
      </c>
      <c r="B730" s="430"/>
      <c r="C730" s="430"/>
      <c r="D730" s="430"/>
      <c r="E730" s="430"/>
      <c r="F730" s="430"/>
      <c r="G730" s="430"/>
      <c r="H730" s="430"/>
    </row>
    <row r="731" spans="1:8" ht="24.75" customHeight="1">
      <c r="A731" s="239" t="str">
        <f>A700</f>
        <v>單  價  分  析  表</v>
      </c>
      <c r="B731" s="430"/>
      <c r="C731" s="430"/>
      <c r="D731" s="430"/>
      <c r="E731" s="430"/>
      <c r="F731" s="430"/>
      <c r="G731" s="430"/>
      <c r="H731" s="430"/>
    </row>
    <row r="732" spans="1:8" ht="24.75" customHeight="1">
      <c r="A732" s="1510" t="str">
        <f>A701</f>
        <v>工程名稱:基隆河整體治理計劃（前期計劃）瑞芳區塊介壽橋下游左右岸護岸工程</v>
      </c>
      <c r="B732" s="1510"/>
      <c r="C732" s="1510"/>
      <c r="D732" s="1510"/>
      <c r="E732" s="1510"/>
      <c r="F732" s="1510"/>
      <c r="G732" s="1510"/>
      <c r="H732" s="253" t="s">
        <v>1065</v>
      </c>
    </row>
    <row r="733" spans="1:8" ht="24.75" customHeight="1" thickBot="1">
      <c r="A733" s="1545" t="str">
        <f>A702</f>
        <v>施工地點：台北縣瑞芳鎮</v>
      </c>
      <c r="B733" s="1545"/>
      <c r="C733" s="1545"/>
      <c r="D733" s="1545"/>
      <c r="E733" s="431"/>
      <c r="F733" s="431"/>
      <c r="G733" s="1546" t="s">
        <v>8</v>
      </c>
      <c r="H733" s="1546"/>
    </row>
    <row r="734" spans="1:8" ht="24.75" customHeight="1">
      <c r="A734" s="358" t="s">
        <v>436</v>
      </c>
      <c r="B734" s="359">
        <v>47</v>
      </c>
      <c r="C734" s="344" t="s">
        <v>442</v>
      </c>
      <c r="D734" s="1550" t="s">
        <v>244</v>
      </c>
      <c r="E734" s="1551"/>
      <c r="F734" s="1552"/>
      <c r="G734" s="360" t="s">
        <v>468</v>
      </c>
      <c r="H734" s="423" t="s">
        <v>248</v>
      </c>
    </row>
    <row r="735" spans="1:8" ht="24.75" customHeight="1">
      <c r="A735" s="220" t="s">
        <v>996</v>
      </c>
      <c r="B735" s="221"/>
      <c r="C735" s="361" t="s">
        <v>950</v>
      </c>
      <c r="D735" s="361" t="s">
        <v>470</v>
      </c>
      <c r="E735" s="362" t="s">
        <v>471</v>
      </c>
      <c r="F735" s="408" t="s">
        <v>472</v>
      </c>
      <c r="G735" s="362" t="s">
        <v>473</v>
      </c>
      <c r="H735" s="363" t="s">
        <v>474</v>
      </c>
    </row>
    <row r="736" spans="1:8" ht="24.75" customHeight="1">
      <c r="A736" s="1630" t="s">
        <v>246</v>
      </c>
      <c r="B736" s="1629"/>
      <c r="C736" s="958"/>
      <c r="D736" s="1339" t="s">
        <v>743</v>
      </c>
      <c r="E736" s="1344">
        <v>1</v>
      </c>
      <c r="F736" s="1344">
        <v>6500</v>
      </c>
      <c r="G736" s="1344">
        <f>ROUND(E736*F736,2)</f>
        <v>6500</v>
      </c>
      <c r="H736" s="959"/>
    </row>
    <row r="737" spans="1:8" ht="24.75" customHeight="1">
      <c r="A737" s="1630" t="s">
        <v>1151</v>
      </c>
      <c r="B737" s="1629" t="s">
        <v>247</v>
      </c>
      <c r="C737" s="960"/>
      <c r="D737" s="1339" t="s">
        <v>741</v>
      </c>
      <c r="E737" s="1344">
        <v>1</v>
      </c>
      <c r="F737" s="1344">
        <v>500</v>
      </c>
      <c r="G737" s="1344">
        <f>ROUND(E737*F737,2)</f>
        <v>500</v>
      </c>
      <c r="H737" s="959"/>
    </row>
    <row r="738" spans="1:8" ht="24.75" customHeight="1">
      <c r="A738" s="1532" t="s">
        <v>1012</v>
      </c>
      <c r="B738" s="1538"/>
      <c r="C738" s="961"/>
      <c r="D738" s="936"/>
      <c r="E738" s="48"/>
      <c r="F738" s="48"/>
      <c r="G738" s="1344">
        <f>SUM(G736:G737)</f>
        <v>7000</v>
      </c>
      <c r="H738" s="959"/>
    </row>
    <row r="739" spans="1:8" ht="24.75" customHeight="1">
      <c r="A739" s="1532"/>
      <c r="B739" s="1538"/>
      <c r="C739" s="962"/>
      <c r="D739" s="936"/>
      <c r="E739" s="48"/>
      <c r="F739" s="48"/>
      <c r="G739" s="48"/>
      <c r="H739" s="959"/>
    </row>
    <row r="740" spans="1:8" ht="24.75" customHeight="1">
      <c r="A740" s="1532"/>
      <c r="B740" s="1538"/>
      <c r="C740" s="963"/>
      <c r="D740" s="936"/>
      <c r="E740" s="330"/>
      <c r="F740" s="48"/>
      <c r="G740" s="48"/>
      <c r="H740" s="363"/>
    </row>
    <row r="741" spans="1:8" ht="24.75" customHeight="1">
      <c r="A741" s="1532"/>
      <c r="B741" s="1538"/>
      <c r="C741" s="365"/>
      <c r="D741" s="366"/>
      <c r="E741" s="367"/>
      <c r="F741" s="368"/>
      <c r="G741" s="368"/>
      <c r="H741" s="363"/>
    </row>
    <row r="742" spans="1:8" ht="24.75" customHeight="1">
      <c r="A742" s="416"/>
      <c r="B742" s="944"/>
      <c r="C742" s="365"/>
      <c r="D742" s="366"/>
      <c r="E742" s="367"/>
      <c r="F742" s="368"/>
      <c r="G742" s="368"/>
      <c r="H742" s="363"/>
    </row>
    <row r="743" spans="1:8" ht="24.75" customHeight="1">
      <c r="A743" s="416"/>
      <c r="B743" s="944"/>
      <c r="C743" s="365"/>
      <c r="D743" s="366"/>
      <c r="E743" s="367"/>
      <c r="F743" s="368"/>
      <c r="G743" s="368"/>
      <c r="H743" s="363"/>
    </row>
    <row r="744" spans="1:8" ht="24.75" customHeight="1">
      <c r="A744" s="416"/>
      <c r="B744" s="944"/>
      <c r="C744" s="365"/>
      <c r="D744" s="366"/>
      <c r="E744" s="367"/>
      <c r="F744" s="368"/>
      <c r="G744" s="368"/>
      <c r="H744" s="363"/>
    </row>
    <row r="745" spans="1:8" ht="24.75" customHeight="1">
      <c r="A745" s="1532"/>
      <c r="B745" s="1538"/>
      <c r="C745" s="369"/>
      <c r="D745" s="362"/>
      <c r="E745" s="370"/>
      <c r="F745" s="368"/>
      <c r="G745" s="368"/>
      <c r="H745" s="364"/>
    </row>
    <row r="746" spans="1:8" ht="24.75" customHeight="1" thickBot="1">
      <c r="A746" s="337"/>
      <c r="B746" s="338"/>
      <c r="C746" s="338"/>
      <c r="D746" s="353" t="s">
        <v>476</v>
      </c>
      <c r="E746" s="339" t="s">
        <v>245</v>
      </c>
      <c r="F746" s="439" t="s">
        <v>438</v>
      </c>
      <c r="G746" s="957">
        <f>G738</f>
        <v>7000</v>
      </c>
      <c r="H746" s="382"/>
    </row>
    <row r="747" spans="1:8" ht="24.75" customHeight="1">
      <c r="A747" s="358" t="s">
        <v>436</v>
      </c>
      <c r="B747" s="359">
        <v>48</v>
      </c>
      <c r="C747" s="344" t="s">
        <v>442</v>
      </c>
      <c r="D747" s="1550" t="s">
        <v>249</v>
      </c>
      <c r="E747" s="1551"/>
      <c r="F747" s="1552"/>
      <c r="G747" s="360" t="s">
        <v>468</v>
      </c>
      <c r="H747" s="423" t="s">
        <v>253</v>
      </c>
    </row>
    <row r="748" spans="1:8" ht="24.75" customHeight="1">
      <c r="A748" s="220" t="s">
        <v>996</v>
      </c>
      <c r="B748" s="221"/>
      <c r="C748" s="361" t="s">
        <v>950</v>
      </c>
      <c r="D748" s="361" t="s">
        <v>470</v>
      </c>
      <c r="E748" s="362" t="s">
        <v>471</v>
      </c>
      <c r="F748" s="408" t="s">
        <v>472</v>
      </c>
      <c r="G748" s="362" t="s">
        <v>473</v>
      </c>
      <c r="H748" s="1460" t="s">
        <v>474</v>
      </c>
    </row>
    <row r="749" spans="1:8" ht="24.75" customHeight="1">
      <c r="A749" s="1630" t="s">
        <v>582</v>
      </c>
      <c r="B749" s="1629" t="s">
        <v>582</v>
      </c>
      <c r="C749" s="958"/>
      <c r="D749" s="1339" t="s">
        <v>467</v>
      </c>
      <c r="E749" s="1344">
        <v>1.4</v>
      </c>
      <c r="F749" s="1344">
        <v>900</v>
      </c>
      <c r="G749" s="1344">
        <f>ROUND(E749*F749,2)</f>
        <v>1260</v>
      </c>
      <c r="H749" s="909"/>
    </row>
    <row r="750" spans="1:8" ht="24.75" customHeight="1">
      <c r="A750" s="1630" t="s">
        <v>224</v>
      </c>
      <c r="B750" s="1629" t="s">
        <v>224</v>
      </c>
      <c r="C750" s="960"/>
      <c r="D750" s="1339" t="s">
        <v>467</v>
      </c>
      <c r="E750" s="1344">
        <v>0.7</v>
      </c>
      <c r="F750" s="1344">
        <v>800</v>
      </c>
      <c r="G750" s="1344">
        <f>ROUND(E750*F750,2)</f>
        <v>560</v>
      </c>
      <c r="H750" s="909"/>
    </row>
    <row r="751" spans="1:8" ht="24.75" customHeight="1">
      <c r="A751" s="1630" t="s">
        <v>250</v>
      </c>
      <c r="B751" s="1629" t="s">
        <v>250</v>
      </c>
      <c r="C751" s="961"/>
      <c r="D751" s="1339" t="s">
        <v>579</v>
      </c>
      <c r="E751" s="1344">
        <v>6</v>
      </c>
      <c r="F751" s="1345">
        <v>2000</v>
      </c>
      <c r="G751" s="1344">
        <f>ROUND(E751*F751,2)</f>
        <v>12000</v>
      </c>
      <c r="H751" s="909" t="s">
        <v>66</v>
      </c>
    </row>
    <row r="752" spans="1:8" ht="24.75" customHeight="1">
      <c r="A752" s="1630" t="s">
        <v>251</v>
      </c>
      <c r="B752" s="1629" t="s">
        <v>251</v>
      </c>
      <c r="C752" s="962"/>
      <c r="D752" s="1339" t="s">
        <v>579</v>
      </c>
      <c r="E752" s="1344">
        <v>3</v>
      </c>
      <c r="F752" s="1344">
        <v>1000</v>
      </c>
      <c r="G752" s="1344">
        <f>ROUND(E752*F752,2)</f>
        <v>3000</v>
      </c>
      <c r="H752" s="909"/>
    </row>
    <row r="753" spans="1:8" ht="24.75" customHeight="1">
      <c r="A753" s="1630" t="s">
        <v>252</v>
      </c>
      <c r="B753" s="1629" t="s">
        <v>252</v>
      </c>
      <c r="C753" s="963"/>
      <c r="D753" s="1339" t="s">
        <v>741</v>
      </c>
      <c r="E753" s="1344">
        <v>1</v>
      </c>
      <c r="F753" s="1345">
        <f>SUM(G751:G752)*0.3</f>
        <v>4500</v>
      </c>
      <c r="G753" s="1344">
        <f>ROUND(E753*F753,2)</f>
        <v>4500</v>
      </c>
      <c r="H753" s="909"/>
    </row>
    <row r="754" spans="1:8" ht="24.75" customHeight="1">
      <c r="A754" s="1630" t="s">
        <v>228</v>
      </c>
      <c r="B754" s="1629" t="s">
        <v>228</v>
      </c>
      <c r="C754" s="365"/>
      <c r="D754" s="1339" t="s">
        <v>741</v>
      </c>
      <c r="E754" s="1344">
        <v>1</v>
      </c>
      <c r="F754" s="1345">
        <f>SUM(G749:G753)*0.02-6.4</f>
        <v>420</v>
      </c>
      <c r="G754" s="1344">
        <f>F754</f>
        <v>420</v>
      </c>
      <c r="H754" s="909"/>
    </row>
    <row r="755" spans="1:8" ht="24.75" customHeight="1">
      <c r="A755" s="1532" t="s">
        <v>1012</v>
      </c>
      <c r="B755" s="1538"/>
      <c r="C755" s="365"/>
      <c r="D755" s="366"/>
      <c r="E755" s="367"/>
      <c r="F755" s="368"/>
      <c r="G755" s="368">
        <f>SUM(G749:G754)</f>
        <v>21740</v>
      </c>
      <c r="H755" s="909"/>
    </row>
    <row r="756" spans="1:8" ht="24.75" customHeight="1">
      <c r="A756" s="416"/>
      <c r="B756" s="944"/>
      <c r="C756" s="365"/>
      <c r="D756" s="366"/>
      <c r="E756" s="367"/>
      <c r="F756" s="368"/>
      <c r="G756" s="368"/>
      <c r="H756" s="363"/>
    </row>
    <row r="757" spans="1:8" ht="24.75" customHeight="1">
      <c r="A757" s="1532"/>
      <c r="B757" s="1538"/>
      <c r="C757" s="369"/>
      <c r="D757" s="362"/>
      <c r="E757" s="370"/>
      <c r="F757" s="368"/>
      <c r="G757" s="368"/>
      <c r="H757" s="364"/>
    </row>
    <row r="758" spans="1:8" ht="24.75" customHeight="1" thickBot="1">
      <c r="A758" s="337"/>
      <c r="B758" s="338"/>
      <c r="C758" s="338"/>
      <c r="D758" s="353" t="s">
        <v>476</v>
      </c>
      <c r="E758" s="339" t="s">
        <v>989</v>
      </c>
      <c r="F758" s="439" t="s">
        <v>438</v>
      </c>
      <c r="G758" s="957">
        <f>G755</f>
        <v>21740</v>
      </c>
      <c r="H758" s="382"/>
    </row>
    <row r="759" spans="1:8" ht="24.75" customHeight="1">
      <c r="A759" s="227"/>
      <c r="B759" s="29"/>
      <c r="C759" s="227"/>
      <c r="D759" s="227"/>
      <c r="E759" s="227"/>
      <c r="F759" s="227"/>
      <c r="G759" s="227"/>
      <c r="H759" s="29"/>
    </row>
    <row r="760" spans="1:8" ht="24.75" customHeight="1">
      <c r="A760" s="29" t="s">
        <v>457</v>
      </c>
      <c r="B760" s="29"/>
      <c r="C760" s="29"/>
      <c r="D760" s="29"/>
      <c r="E760" s="29" t="s">
        <v>458</v>
      </c>
      <c r="F760" s="29"/>
      <c r="G760" s="29"/>
      <c r="H760" s="29"/>
    </row>
    <row r="761" spans="1:8" ht="24.75" customHeight="1">
      <c r="A761" s="238" t="str">
        <f>A730</f>
        <v>經濟部水利署第十河川局</v>
      </c>
      <c r="B761" s="430"/>
      <c r="C761" s="430"/>
      <c r="D761" s="430"/>
      <c r="E761" s="430"/>
      <c r="F761" s="430"/>
      <c r="G761" s="430"/>
      <c r="H761" s="430"/>
    </row>
    <row r="762" spans="1:8" ht="24.75" customHeight="1">
      <c r="A762" s="239" t="str">
        <f>A731</f>
        <v>單  價  分  析  表</v>
      </c>
      <c r="B762" s="430"/>
      <c r="C762" s="430"/>
      <c r="D762" s="430"/>
      <c r="E762" s="430"/>
      <c r="F762" s="430"/>
      <c r="G762" s="430"/>
      <c r="H762" s="430"/>
    </row>
    <row r="763" spans="1:8" ht="24.75" customHeight="1">
      <c r="A763" s="1510" t="str">
        <f>A732</f>
        <v>工程名稱:基隆河整體治理計劃（前期計劃）瑞芳區塊介壽橋下游左右岸護岸工程</v>
      </c>
      <c r="B763" s="1510"/>
      <c r="C763" s="1510"/>
      <c r="D763" s="1510"/>
      <c r="E763" s="1510"/>
      <c r="F763" s="1510"/>
      <c r="G763" s="1510"/>
      <c r="H763" s="253" t="s">
        <v>1065</v>
      </c>
    </row>
    <row r="764" spans="1:8" ht="24.75" customHeight="1" thickBot="1">
      <c r="A764" s="1545" t="str">
        <f>A733</f>
        <v>施工地點：台北縣瑞芳鎮</v>
      </c>
      <c r="B764" s="1545"/>
      <c r="C764" s="1545"/>
      <c r="D764" s="1545"/>
      <c r="E764" s="431"/>
      <c r="F764" s="431"/>
      <c r="G764" s="1546" t="s">
        <v>7</v>
      </c>
      <c r="H764" s="1546"/>
    </row>
    <row r="765" spans="1:8" ht="24.75" customHeight="1">
      <c r="A765" s="358" t="s">
        <v>436</v>
      </c>
      <c r="B765" s="359">
        <v>49</v>
      </c>
      <c r="C765" s="344" t="s">
        <v>442</v>
      </c>
      <c r="D765" s="1550" t="s">
        <v>254</v>
      </c>
      <c r="E765" s="1551"/>
      <c r="F765" s="1552"/>
      <c r="G765" s="360" t="s">
        <v>468</v>
      </c>
      <c r="H765" s="423" t="s">
        <v>259</v>
      </c>
    </row>
    <row r="766" spans="1:8" ht="24.75" customHeight="1">
      <c r="A766" s="220" t="s">
        <v>996</v>
      </c>
      <c r="B766" s="221"/>
      <c r="C766" s="361" t="s">
        <v>950</v>
      </c>
      <c r="D766" s="361" t="s">
        <v>470</v>
      </c>
      <c r="E766" s="362" t="s">
        <v>471</v>
      </c>
      <c r="F766" s="408" t="s">
        <v>472</v>
      </c>
      <c r="G766" s="362" t="s">
        <v>473</v>
      </c>
      <c r="H766" s="363" t="s">
        <v>474</v>
      </c>
    </row>
    <row r="767" spans="1:8" ht="24.75" customHeight="1">
      <c r="A767" s="1630" t="s">
        <v>582</v>
      </c>
      <c r="B767" s="1629" t="s">
        <v>582</v>
      </c>
      <c r="C767" s="958"/>
      <c r="D767" s="1339" t="s">
        <v>467</v>
      </c>
      <c r="E767" s="1344">
        <v>0.2</v>
      </c>
      <c r="F767" s="1344">
        <v>900</v>
      </c>
      <c r="G767" s="1344">
        <f aca="true" t="shared" si="6" ref="G767:G772">ROUND(E767*F767,2)</f>
        <v>180</v>
      </c>
      <c r="H767" s="959"/>
    </row>
    <row r="768" spans="1:8" ht="24.75" customHeight="1">
      <c r="A768" s="1630" t="s">
        <v>224</v>
      </c>
      <c r="B768" s="1629" t="s">
        <v>224</v>
      </c>
      <c r="C768" s="960"/>
      <c r="D768" s="1339" t="s">
        <v>467</v>
      </c>
      <c r="E768" s="1344">
        <v>0.325</v>
      </c>
      <c r="F768" s="1344">
        <v>800</v>
      </c>
      <c r="G768" s="1344">
        <f t="shared" si="6"/>
        <v>260</v>
      </c>
      <c r="H768" s="959"/>
    </row>
    <row r="769" spans="1:8" ht="24.75" customHeight="1">
      <c r="A769" s="1630" t="s">
        <v>257</v>
      </c>
      <c r="B769" s="1629" t="s">
        <v>257</v>
      </c>
      <c r="C769" s="961"/>
      <c r="D769" s="1339" t="s">
        <v>413</v>
      </c>
      <c r="E769" s="1344">
        <v>63</v>
      </c>
      <c r="F769" s="1345">
        <v>16</v>
      </c>
      <c r="G769" s="1344">
        <f t="shared" si="6"/>
        <v>1008</v>
      </c>
      <c r="H769" s="959"/>
    </row>
    <row r="770" spans="1:8" ht="24.75" customHeight="1">
      <c r="A770" s="1630" t="s">
        <v>255</v>
      </c>
      <c r="B770" s="1629" t="s">
        <v>255</v>
      </c>
      <c r="C770" s="962"/>
      <c r="D770" s="1339" t="s">
        <v>413</v>
      </c>
      <c r="E770" s="1344">
        <v>50</v>
      </c>
      <c r="F770" s="1344">
        <v>16</v>
      </c>
      <c r="G770" s="1344">
        <f t="shared" si="6"/>
        <v>800</v>
      </c>
      <c r="H770" s="959"/>
    </row>
    <row r="771" spans="1:8" ht="24.75" customHeight="1">
      <c r="A771" s="1630" t="s">
        <v>256</v>
      </c>
      <c r="B771" s="1629" t="s">
        <v>256</v>
      </c>
      <c r="C771" s="963"/>
      <c r="D771" s="1339" t="s">
        <v>258</v>
      </c>
      <c r="E771" s="1344">
        <v>0.21</v>
      </c>
      <c r="F771" s="1344">
        <v>9000</v>
      </c>
      <c r="G771" s="1344">
        <f t="shared" si="6"/>
        <v>1890</v>
      </c>
      <c r="H771" s="363"/>
    </row>
    <row r="772" spans="1:8" ht="24.75" customHeight="1">
      <c r="A772" s="1630" t="s">
        <v>228</v>
      </c>
      <c r="B772" s="1629" t="s">
        <v>228</v>
      </c>
      <c r="C772" s="365"/>
      <c r="D772" s="1339" t="s">
        <v>741</v>
      </c>
      <c r="E772" s="1344">
        <v>1</v>
      </c>
      <c r="F772" s="1345">
        <f>SUM(G767:G771)*0.02-0.76</f>
        <v>82</v>
      </c>
      <c r="G772" s="1344">
        <f t="shared" si="6"/>
        <v>82</v>
      </c>
      <c r="H772" s="363"/>
    </row>
    <row r="773" spans="1:8" ht="24.75" customHeight="1">
      <c r="A773" s="1532" t="s">
        <v>1012</v>
      </c>
      <c r="B773" s="1538"/>
      <c r="C773" s="365"/>
      <c r="D773" s="366"/>
      <c r="E773" s="367"/>
      <c r="F773" s="368"/>
      <c r="G773" s="1344">
        <f>SUM(G767:G772)</f>
        <v>4220</v>
      </c>
      <c r="H773" s="363"/>
    </row>
    <row r="774" spans="1:8" ht="24.75" customHeight="1">
      <c r="A774" s="416"/>
      <c r="B774" s="944"/>
      <c r="C774" s="365"/>
      <c r="D774" s="366"/>
      <c r="E774" s="367"/>
      <c r="F774" s="368"/>
      <c r="G774" s="368"/>
      <c r="H774" s="363"/>
    </row>
    <row r="775" spans="1:8" ht="24.75" customHeight="1">
      <c r="A775" s="416"/>
      <c r="B775" s="944"/>
      <c r="C775" s="365"/>
      <c r="D775" s="366"/>
      <c r="E775" s="367"/>
      <c r="F775" s="368"/>
      <c r="G775" s="368"/>
      <c r="H775" s="363"/>
    </row>
    <row r="776" spans="1:8" ht="24.75" customHeight="1">
      <c r="A776" s="1532"/>
      <c r="B776" s="1538"/>
      <c r="C776" s="369"/>
      <c r="D776" s="362"/>
      <c r="E776" s="370"/>
      <c r="F776" s="368"/>
      <c r="G776" s="368"/>
      <c r="H776" s="364"/>
    </row>
    <row r="777" spans="1:8" ht="24.75" customHeight="1" thickBot="1">
      <c r="A777" s="337"/>
      <c r="B777" s="338"/>
      <c r="C777" s="338"/>
      <c r="D777" s="353" t="s">
        <v>476</v>
      </c>
      <c r="E777" s="339" t="s">
        <v>988</v>
      </c>
      <c r="F777" s="439" t="s">
        <v>438</v>
      </c>
      <c r="G777" s="957">
        <f>G773</f>
        <v>4220</v>
      </c>
      <c r="H777" s="382"/>
    </row>
    <row r="778" spans="1:8" ht="24.75" customHeight="1">
      <c r="A778" s="358" t="s">
        <v>436</v>
      </c>
      <c r="B778" s="359">
        <v>50</v>
      </c>
      <c r="C778" s="344" t="s">
        <v>442</v>
      </c>
      <c r="D778" s="1550" t="s">
        <v>260</v>
      </c>
      <c r="E778" s="1551"/>
      <c r="F778" s="1552"/>
      <c r="G778" s="360" t="s">
        <v>468</v>
      </c>
      <c r="H778" s="423" t="s">
        <v>272</v>
      </c>
    </row>
    <row r="779" spans="1:8" ht="24.75" customHeight="1">
      <c r="A779" s="220" t="s">
        <v>996</v>
      </c>
      <c r="B779" s="221"/>
      <c r="C779" s="361" t="s">
        <v>950</v>
      </c>
      <c r="D779" s="361" t="s">
        <v>470</v>
      </c>
      <c r="E779" s="362" t="s">
        <v>471</v>
      </c>
      <c r="F779" s="408" t="s">
        <v>472</v>
      </c>
      <c r="G779" s="362" t="s">
        <v>473</v>
      </c>
      <c r="H779" s="363" t="s">
        <v>474</v>
      </c>
    </row>
    <row r="780" spans="1:8" ht="24.75" customHeight="1">
      <c r="A780" s="1630" t="s">
        <v>262</v>
      </c>
      <c r="B780" s="1629" t="s">
        <v>262</v>
      </c>
      <c r="C780" s="958"/>
      <c r="D780" s="1339" t="s">
        <v>456</v>
      </c>
      <c r="E780" s="1344">
        <v>1</v>
      </c>
      <c r="F780" s="1344">
        <v>1240</v>
      </c>
      <c r="G780" s="1344">
        <f aca="true" t="shared" si="7" ref="G780:G787">ROUND(E780*F780,2)</f>
        <v>1240</v>
      </c>
      <c r="H780" s="959"/>
    </row>
    <row r="781" spans="1:8" ht="24.75" customHeight="1">
      <c r="A781" s="1630" t="s">
        <v>263</v>
      </c>
      <c r="B781" s="1629" t="s">
        <v>263</v>
      </c>
      <c r="C781" s="960"/>
      <c r="D781" s="1339" t="s">
        <v>268</v>
      </c>
      <c r="E781" s="1344">
        <v>4</v>
      </c>
      <c r="F781" s="1344">
        <v>40</v>
      </c>
      <c r="G781" s="1344">
        <f t="shared" si="7"/>
        <v>160</v>
      </c>
      <c r="H781" s="959"/>
    </row>
    <row r="782" spans="1:8" ht="24.75" customHeight="1">
      <c r="A782" s="1630" t="s">
        <v>261</v>
      </c>
      <c r="B782" s="1629" t="s">
        <v>261</v>
      </c>
      <c r="C782" s="961"/>
      <c r="D782" s="1339" t="s">
        <v>269</v>
      </c>
      <c r="E782" s="1344">
        <v>2</v>
      </c>
      <c r="F782" s="1344">
        <v>22</v>
      </c>
      <c r="G782" s="1344">
        <f t="shared" si="7"/>
        <v>44</v>
      </c>
      <c r="H782" s="959"/>
    </row>
    <row r="783" spans="1:8" ht="24.75" customHeight="1">
      <c r="A783" s="1630" t="s">
        <v>264</v>
      </c>
      <c r="B783" s="1629" t="s">
        <v>264</v>
      </c>
      <c r="C783" s="962"/>
      <c r="D783" s="1339" t="s">
        <v>413</v>
      </c>
      <c r="E783" s="1344">
        <v>28.26</v>
      </c>
      <c r="F783" s="1345">
        <v>20</v>
      </c>
      <c r="G783" s="1344">
        <f t="shared" si="7"/>
        <v>565.2</v>
      </c>
      <c r="H783" s="959"/>
    </row>
    <row r="784" spans="1:8" ht="24.75" customHeight="1">
      <c r="A784" s="1630" t="s">
        <v>265</v>
      </c>
      <c r="B784" s="1629" t="s">
        <v>265</v>
      </c>
      <c r="C784" s="963" t="s">
        <v>166</v>
      </c>
      <c r="D784" s="1339" t="s">
        <v>985</v>
      </c>
      <c r="E784" s="1344">
        <v>3.5</v>
      </c>
      <c r="F784" s="1344">
        <v>46</v>
      </c>
      <c r="G784" s="1344">
        <f t="shared" si="7"/>
        <v>161</v>
      </c>
      <c r="H784" s="363"/>
    </row>
    <row r="785" spans="1:8" ht="24.75" customHeight="1">
      <c r="A785" s="1630" t="s">
        <v>1151</v>
      </c>
      <c r="B785" s="1629" t="s">
        <v>1151</v>
      </c>
      <c r="C785" s="365"/>
      <c r="D785" s="1339" t="s">
        <v>741</v>
      </c>
      <c r="E785" s="1344">
        <v>1</v>
      </c>
      <c r="F785" s="1344">
        <v>1000</v>
      </c>
      <c r="G785" s="1344">
        <f t="shared" si="7"/>
        <v>1000</v>
      </c>
      <c r="H785" s="363"/>
    </row>
    <row r="786" spans="1:8" ht="24.75" customHeight="1">
      <c r="A786" s="1630" t="s">
        <v>266</v>
      </c>
      <c r="B786" s="1629" t="s">
        <v>266</v>
      </c>
      <c r="C786" s="365"/>
      <c r="D786" s="1339" t="s">
        <v>270</v>
      </c>
      <c r="E786" s="1344">
        <v>5652</v>
      </c>
      <c r="F786" s="1344">
        <v>0.5</v>
      </c>
      <c r="G786" s="1344">
        <f t="shared" si="7"/>
        <v>2826</v>
      </c>
      <c r="H786" s="363"/>
    </row>
    <row r="787" spans="1:8" ht="24.75" customHeight="1">
      <c r="A787" s="1630" t="s">
        <v>267</v>
      </c>
      <c r="B787" s="1629" t="s">
        <v>267</v>
      </c>
      <c r="C787" s="365"/>
      <c r="D787" s="1339" t="s">
        <v>741</v>
      </c>
      <c r="E787" s="1344">
        <v>1</v>
      </c>
      <c r="F787" s="1344">
        <v>173.8</v>
      </c>
      <c r="G787" s="1344">
        <f t="shared" si="7"/>
        <v>173.8</v>
      </c>
      <c r="H787" s="363"/>
    </row>
    <row r="788" spans="1:8" ht="24.75" customHeight="1">
      <c r="A788" s="1532" t="s">
        <v>1012</v>
      </c>
      <c r="B788" s="1538"/>
      <c r="C788" s="369"/>
      <c r="D788" s="362"/>
      <c r="E788" s="370"/>
      <c r="F788" s="368"/>
      <c r="G788" s="1344">
        <f>SUM(G780:G787)</f>
        <v>6170</v>
      </c>
      <c r="H788" s="364"/>
    </row>
    <row r="789" spans="1:8" ht="24.75" customHeight="1" thickBot="1">
      <c r="A789" s="337"/>
      <c r="B789" s="338"/>
      <c r="C789" s="338"/>
      <c r="D789" s="353" t="s">
        <v>476</v>
      </c>
      <c r="E789" s="339" t="s">
        <v>271</v>
      </c>
      <c r="F789" s="439" t="s">
        <v>438</v>
      </c>
      <c r="G789" s="957">
        <f>G788</f>
        <v>6170</v>
      </c>
      <c r="H789" s="382"/>
    </row>
    <row r="790" spans="1:8" ht="24.75" customHeight="1">
      <c r="A790" s="227"/>
      <c r="B790" s="29"/>
      <c r="C790" s="227"/>
      <c r="D790" s="227"/>
      <c r="E790" s="227"/>
      <c r="F790" s="227"/>
      <c r="G790" s="227"/>
      <c r="H790" s="29"/>
    </row>
    <row r="791" spans="1:8" ht="24.75" customHeight="1">
      <c r="A791" s="29" t="s">
        <v>457</v>
      </c>
      <c r="B791" s="29"/>
      <c r="C791" s="29"/>
      <c r="D791" s="29"/>
      <c r="E791" s="29" t="s">
        <v>458</v>
      </c>
      <c r="F791" s="29"/>
      <c r="G791" s="29"/>
      <c r="H791" s="29"/>
    </row>
    <row r="792" spans="1:8" ht="24.75" customHeight="1">
      <c r="A792" s="238" t="str">
        <f>A761</f>
        <v>經濟部水利署第十河川局</v>
      </c>
      <c r="B792" s="430"/>
      <c r="C792" s="430"/>
      <c r="D792" s="430"/>
      <c r="E792" s="430"/>
      <c r="F792" s="430"/>
      <c r="G792" s="430"/>
      <c r="H792" s="430"/>
    </row>
    <row r="793" spans="1:8" ht="24.75" customHeight="1">
      <c r="A793" s="239" t="str">
        <f>A762</f>
        <v>單  價  分  析  表</v>
      </c>
      <c r="B793" s="430"/>
      <c r="C793" s="430"/>
      <c r="D793" s="430"/>
      <c r="E793" s="430"/>
      <c r="F793" s="430"/>
      <c r="G793" s="430"/>
      <c r="H793" s="430"/>
    </row>
    <row r="794" spans="1:8" ht="24.75" customHeight="1">
      <c r="A794" s="1510" t="str">
        <f>A763</f>
        <v>工程名稱:基隆河整體治理計劃（前期計劃）瑞芳區塊介壽橋下游左右岸護岸工程</v>
      </c>
      <c r="B794" s="1510"/>
      <c r="C794" s="1510"/>
      <c r="D794" s="1510"/>
      <c r="E794" s="1510"/>
      <c r="F794" s="1510"/>
      <c r="G794" s="1510"/>
      <c r="H794" s="253" t="s">
        <v>1065</v>
      </c>
    </row>
    <row r="795" spans="1:8" ht="24.75" customHeight="1" thickBot="1">
      <c r="A795" s="1545" t="str">
        <f>A764</f>
        <v>施工地點：台北縣瑞芳鎮</v>
      </c>
      <c r="B795" s="1545"/>
      <c r="C795" s="1545"/>
      <c r="D795" s="1545"/>
      <c r="E795" s="431"/>
      <c r="F795" s="431"/>
      <c r="G795" s="1546" t="s">
        <v>6</v>
      </c>
      <c r="H795" s="1546"/>
    </row>
    <row r="796" spans="1:8" ht="24.75" customHeight="1">
      <c r="A796" s="358" t="s">
        <v>436</v>
      </c>
      <c r="B796" s="359">
        <v>51</v>
      </c>
      <c r="C796" s="344" t="s">
        <v>442</v>
      </c>
      <c r="D796" s="1550" t="s">
        <v>273</v>
      </c>
      <c r="E796" s="1551"/>
      <c r="F796" s="1552"/>
      <c r="G796" s="360" t="s">
        <v>468</v>
      </c>
      <c r="H796" s="423" t="s">
        <v>278</v>
      </c>
    </row>
    <row r="797" spans="1:8" ht="24.75" customHeight="1">
      <c r="A797" s="220" t="s">
        <v>996</v>
      </c>
      <c r="B797" s="221"/>
      <c r="C797" s="361" t="s">
        <v>950</v>
      </c>
      <c r="D797" s="361" t="s">
        <v>470</v>
      </c>
      <c r="E797" s="362" t="s">
        <v>471</v>
      </c>
      <c r="F797" s="408" t="s">
        <v>472</v>
      </c>
      <c r="G797" s="362" t="s">
        <v>473</v>
      </c>
      <c r="H797" s="363" t="s">
        <v>474</v>
      </c>
    </row>
    <row r="798" spans="1:8" ht="24.75" customHeight="1">
      <c r="A798" s="1630" t="s">
        <v>276</v>
      </c>
      <c r="B798" s="1629" t="s">
        <v>275</v>
      </c>
      <c r="C798" s="958"/>
      <c r="D798" s="1339" t="s">
        <v>277</v>
      </c>
      <c r="E798" s="1344">
        <v>1.05</v>
      </c>
      <c r="F798" s="1344">
        <v>700</v>
      </c>
      <c r="G798" s="1344">
        <f>ROUND(E798*F798,2)</f>
        <v>735</v>
      </c>
      <c r="H798" s="959"/>
    </row>
    <row r="799" spans="1:8" ht="24.75" customHeight="1">
      <c r="A799" s="1630" t="s">
        <v>224</v>
      </c>
      <c r="B799" s="1629" t="s">
        <v>224</v>
      </c>
      <c r="C799" s="960"/>
      <c r="D799" s="1339" t="s">
        <v>467</v>
      </c>
      <c r="E799" s="1344">
        <v>0.08</v>
      </c>
      <c r="F799" s="1344">
        <v>800</v>
      </c>
      <c r="G799" s="1344">
        <f>ROUND(E799*F799,2)</f>
        <v>64</v>
      </c>
      <c r="H799" s="959"/>
    </row>
    <row r="800" spans="1:8" ht="24.75" customHeight="1">
      <c r="A800" s="1630" t="s">
        <v>228</v>
      </c>
      <c r="B800" s="1629" t="s">
        <v>228</v>
      </c>
      <c r="C800" s="961"/>
      <c r="D800" s="1339" t="s">
        <v>741</v>
      </c>
      <c r="E800" s="1344">
        <v>1</v>
      </c>
      <c r="F800" s="1345">
        <f>SUM(G798:G799)*0.02+0.02</f>
        <v>16</v>
      </c>
      <c r="G800" s="1344">
        <f>ROUND(E800*F800,2)</f>
        <v>16</v>
      </c>
      <c r="H800" s="959"/>
    </row>
    <row r="801" spans="1:8" ht="24.75" customHeight="1">
      <c r="A801" s="1532" t="s">
        <v>1012</v>
      </c>
      <c r="B801" s="1538"/>
      <c r="C801" s="962"/>
      <c r="D801" s="936"/>
      <c r="E801" s="48"/>
      <c r="F801" s="48"/>
      <c r="G801" s="1344">
        <f>SUM(G798:G800)</f>
        <v>815</v>
      </c>
      <c r="H801" s="959"/>
    </row>
    <row r="802" spans="1:8" ht="24.75" customHeight="1">
      <c r="A802" s="1532"/>
      <c r="B802" s="1538"/>
      <c r="C802" s="963"/>
      <c r="D802" s="936"/>
      <c r="E802" s="330"/>
      <c r="F802" s="48"/>
      <c r="G802" s="48"/>
      <c r="H802" s="363"/>
    </row>
    <row r="803" spans="1:8" ht="24.75" customHeight="1">
      <c r="A803" s="1532"/>
      <c r="B803" s="1538"/>
      <c r="C803" s="365"/>
      <c r="D803" s="366"/>
      <c r="E803" s="367"/>
      <c r="F803" s="368"/>
      <c r="G803" s="368"/>
      <c r="H803" s="363"/>
    </row>
    <row r="804" spans="1:8" ht="24.75" customHeight="1">
      <c r="A804" s="416"/>
      <c r="B804" s="944"/>
      <c r="C804" s="365"/>
      <c r="D804" s="366"/>
      <c r="E804" s="367"/>
      <c r="F804" s="368"/>
      <c r="G804" s="368"/>
      <c r="H804" s="363"/>
    </row>
    <row r="805" spans="1:8" ht="24.75" customHeight="1">
      <c r="A805" s="416"/>
      <c r="B805" s="944"/>
      <c r="C805" s="365"/>
      <c r="D805" s="366"/>
      <c r="E805" s="367"/>
      <c r="F805" s="368"/>
      <c r="G805" s="368"/>
      <c r="H805" s="363"/>
    </row>
    <row r="806" spans="1:8" ht="24.75" customHeight="1">
      <c r="A806" s="416"/>
      <c r="B806" s="944"/>
      <c r="C806" s="365"/>
      <c r="D806" s="366"/>
      <c r="E806" s="367"/>
      <c r="F806" s="368"/>
      <c r="G806" s="368"/>
      <c r="H806" s="363"/>
    </row>
    <row r="807" spans="1:8" ht="24.75" customHeight="1">
      <c r="A807" s="1532"/>
      <c r="B807" s="1538"/>
      <c r="C807" s="369"/>
      <c r="D807" s="362"/>
      <c r="E807" s="370"/>
      <c r="F807" s="368"/>
      <c r="G807" s="368"/>
      <c r="H807" s="364"/>
    </row>
    <row r="808" spans="1:8" ht="24.75" customHeight="1" thickBot="1">
      <c r="A808" s="337"/>
      <c r="B808" s="338"/>
      <c r="C808" s="338"/>
      <c r="D808" s="353" t="s">
        <v>476</v>
      </c>
      <c r="E808" s="339" t="s">
        <v>274</v>
      </c>
      <c r="F808" s="439" t="s">
        <v>438</v>
      </c>
      <c r="G808" s="957">
        <f>G801</f>
        <v>815</v>
      </c>
      <c r="H808" s="382"/>
    </row>
    <row r="809" spans="1:8" ht="24.75" customHeight="1">
      <c r="A809" s="358" t="s">
        <v>436</v>
      </c>
      <c r="B809" s="359">
        <v>52</v>
      </c>
      <c r="C809" s="344" t="s">
        <v>442</v>
      </c>
      <c r="D809" s="1550" t="s">
        <v>286</v>
      </c>
      <c r="E809" s="1551"/>
      <c r="F809" s="1552"/>
      <c r="G809" s="360" t="s">
        <v>468</v>
      </c>
      <c r="H809" s="423" t="s">
        <v>289</v>
      </c>
    </row>
    <row r="810" spans="1:8" ht="24.75" customHeight="1">
      <c r="A810" s="220" t="s">
        <v>996</v>
      </c>
      <c r="B810" s="221"/>
      <c r="C810" s="361" t="s">
        <v>950</v>
      </c>
      <c r="D810" s="361" t="s">
        <v>470</v>
      </c>
      <c r="E810" s="362" t="s">
        <v>471</v>
      </c>
      <c r="F810" s="408" t="s">
        <v>472</v>
      </c>
      <c r="G810" s="362" t="s">
        <v>473</v>
      </c>
      <c r="H810" s="363" t="s">
        <v>474</v>
      </c>
    </row>
    <row r="811" spans="1:8" ht="34.5" customHeight="1">
      <c r="A811" s="1532" t="s">
        <v>139</v>
      </c>
      <c r="B811" s="1538"/>
      <c r="C811" s="960"/>
      <c r="D811" s="936" t="s">
        <v>287</v>
      </c>
      <c r="E811" s="947">
        <v>1</v>
      </c>
      <c r="F811" s="48">
        <v>2</v>
      </c>
      <c r="G811" s="48">
        <f>E811*F811</f>
        <v>2</v>
      </c>
      <c r="H811" s="959"/>
    </row>
    <row r="812" spans="1:8" ht="24.75" customHeight="1">
      <c r="A812" s="1532" t="s">
        <v>1009</v>
      </c>
      <c r="B812" s="1538"/>
      <c r="C812" s="963"/>
      <c r="D812" s="936" t="s">
        <v>1010</v>
      </c>
      <c r="E812" s="330">
        <v>1</v>
      </c>
      <c r="F812" s="48" t="s">
        <v>1011</v>
      </c>
      <c r="G812" s="48">
        <v>8</v>
      </c>
      <c r="H812" s="363"/>
    </row>
    <row r="813" spans="1:8" ht="24.75" customHeight="1">
      <c r="A813" s="1532" t="s">
        <v>1012</v>
      </c>
      <c r="B813" s="1538"/>
      <c r="C813" s="365"/>
      <c r="D813" s="366"/>
      <c r="E813" s="367"/>
      <c r="F813" s="368"/>
      <c r="G813" s="368">
        <f>SUM(G811:G812)</f>
        <v>10</v>
      </c>
      <c r="H813" s="363"/>
    </row>
    <row r="814" spans="1:8" ht="24.75" customHeight="1">
      <c r="A814" s="416"/>
      <c r="B814" s="944"/>
      <c r="C814" s="365"/>
      <c r="D814" s="366"/>
      <c r="E814" s="367"/>
      <c r="F814" s="368"/>
      <c r="G814" s="368"/>
      <c r="H814" s="363"/>
    </row>
    <row r="815" spans="1:8" ht="24.75" customHeight="1">
      <c r="A815" s="416"/>
      <c r="B815" s="944"/>
      <c r="C815" s="365"/>
      <c r="D815" s="366"/>
      <c r="E815" s="367"/>
      <c r="F815" s="368"/>
      <c r="G815" s="368"/>
      <c r="H815" s="363"/>
    </row>
    <row r="816" spans="1:8" ht="24.75" customHeight="1">
      <c r="A816" s="416"/>
      <c r="B816" s="944"/>
      <c r="C816" s="365"/>
      <c r="D816" s="366"/>
      <c r="E816" s="367"/>
      <c r="F816" s="368"/>
      <c r="G816" s="368"/>
      <c r="H816" s="363"/>
    </row>
    <row r="817" spans="1:8" ht="24.75" customHeight="1">
      <c r="A817" s="416"/>
      <c r="B817" s="944"/>
      <c r="C817" s="365"/>
      <c r="D817" s="366"/>
      <c r="E817" s="367"/>
      <c r="F817" s="368"/>
      <c r="G817" s="368"/>
      <c r="H817" s="363"/>
    </row>
    <row r="818" spans="1:8" ht="24.75" customHeight="1">
      <c r="A818" s="416"/>
      <c r="B818" s="944"/>
      <c r="C818" s="365"/>
      <c r="D818" s="366"/>
      <c r="E818" s="367"/>
      <c r="F818" s="368"/>
      <c r="G818" s="368"/>
      <c r="H818" s="363"/>
    </row>
    <row r="819" spans="1:8" ht="24.75" customHeight="1">
      <c r="A819" s="1532"/>
      <c r="B819" s="1538"/>
      <c r="C819" s="369"/>
      <c r="D819" s="362"/>
      <c r="E819" s="370"/>
      <c r="F819" s="368"/>
      <c r="G819" s="368"/>
      <c r="H819" s="364"/>
    </row>
    <row r="820" spans="1:8" ht="24.75" customHeight="1" thickBot="1">
      <c r="A820" s="337"/>
      <c r="B820" s="338"/>
      <c r="C820" s="338"/>
      <c r="D820" s="353" t="s">
        <v>476</v>
      </c>
      <c r="E820" s="339" t="s">
        <v>288</v>
      </c>
      <c r="F820" s="439" t="s">
        <v>438</v>
      </c>
      <c r="G820" s="957">
        <f>G813</f>
        <v>10</v>
      </c>
      <c r="H820" s="382"/>
    </row>
    <row r="821" spans="1:8" ht="24.75" customHeight="1">
      <c r="A821" s="227"/>
      <c r="B821" s="29"/>
      <c r="C821" s="227"/>
      <c r="D821" s="227"/>
      <c r="E821" s="227"/>
      <c r="F821" s="227"/>
      <c r="G821" s="227"/>
      <c r="H821" s="29"/>
    </row>
    <row r="822" spans="1:8" ht="24.75" customHeight="1">
      <c r="A822" s="29" t="s">
        <v>457</v>
      </c>
      <c r="B822" s="29"/>
      <c r="C822" s="29"/>
      <c r="D822" s="29"/>
      <c r="E822" s="29" t="s">
        <v>458</v>
      </c>
      <c r="F822" s="29"/>
      <c r="G822" s="29"/>
      <c r="H822" s="29"/>
    </row>
    <row r="823" spans="1:8" ht="24.75" customHeight="1">
      <c r="A823" s="238" t="str">
        <f>A792</f>
        <v>經濟部水利署第十河川局</v>
      </c>
      <c r="B823" s="430"/>
      <c r="C823" s="430"/>
      <c r="D823" s="430"/>
      <c r="E823" s="430"/>
      <c r="F823" s="430"/>
      <c r="G823" s="430"/>
      <c r="H823" s="430"/>
    </row>
    <row r="824" spans="1:8" ht="24.75" customHeight="1">
      <c r="A824" s="239" t="str">
        <f>A793</f>
        <v>單  價  分  析  表</v>
      </c>
      <c r="B824" s="430"/>
      <c r="C824" s="430"/>
      <c r="D824" s="430"/>
      <c r="E824" s="430"/>
      <c r="F824" s="430"/>
      <c r="G824" s="430"/>
      <c r="H824" s="430"/>
    </row>
    <row r="825" spans="1:8" ht="24.75" customHeight="1">
      <c r="A825" s="1510" t="str">
        <f>A794</f>
        <v>工程名稱:基隆河整體治理計劃（前期計劃）瑞芳區塊介壽橋下游左右岸護岸工程</v>
      </c>
      <c r="B825" s="1510"/>
      <c r="C825" s="1510"/>
      <c r="D825" s="1510"/>
      <c r="E825" s="1510"/>
      <c r="F825" s="1510"/>
      <c r="G825" s="1510"/>
      <c r="H825" s="253" t="s">
        <v>1065</v>
      </c>
    </row>
    <row r="826" spans="1:8" ht="24.75" customHeight="1" thickBot="1">
      <c r="A826" s="1545" t="str">
        <f>A795</f>
        <v>施工地點：台北縣瑞芳鎮</v>
      </c>
      <c r="B826" s="1545"/>
      <c r="C826" s="1545"/>
      <c r="D826" s="1545"/>
      <c r="E826" s="431"/>
      <c r="F826" s="431"/>
      <c r="G826" s="1546" t="s">
        <v>5</v>
      </c>
      <c r="H826" s="1546"/>
    </row>
    <row r="827" spans="1:8" ht="24.75" customHeight="1">
      <c r="A827" s="358" t="s">
        <v>436</v>
      </c>
      <c r="B827" s="359">
        <v>53</v>
      </c>
      <c r="C827" s="344" t="s">
        <v>442</v>
      </c>
      <c r="D827" s="1550" t="s">
        <v>290</v>
      </c>
      <c r="E827" s="1551"/>
      <c r="F827" s="1552"/>
      <c r="G827" s="360" t="s">
        <v>468</v>
      </c>
      <c r="H827" s="423" t="s">
        <v>1201</v>
      </c>
    </row>
    <row r="828" spans="1:8" ht="24.75" customHeight="1">
      <c r="A828" s="220" t="s">
        <v>996</v>
      </c>
      <c r="B828" s="221"/>
      <c r="C828" s="361" t="s">
        <v>950</v>
      </c>
      <c r="D828" s="361" t="s">
        <v>470</v>
      </c>
      <c r="E828" s="362" t="s">
        <v>471</v>
      </c>
      <c r="F828" s="408" t="s">
        <v>472</v>
      </c>
      <c r="G828" s="362" t="s">
        <v>473</v>
      </c>
      <c r="H828" s="363" t="s">
        <v>474</v>
      </c>
    </row>
    <row r="829" spans="1:8" ht="24.75" customHeight="1">
      <c r="A829" s="1532" t="s">
        <v>1001</v>
      </c>
      <c r="B829" s="1538"/>
      <c r="C829" s="961" t="s">
        <v>1319</v>
      </c>
      <c r="D829" s="936" t="s">
        <v>1003</v>
      </c>
      <c r="E829" s="48">
        <v>1</v>
      </c>
      <c r="F829" s="48">
        <v>30</v>
      </c>
      <c r="G829" s="48">
        <f>E829*F829</f>
        <v>30</v>
      </c>
      <c r="H829" s="959" t="s">
        <v>1004</v>
      </c>
    </row>
    <row r="830" spans="1:8" ht="24.75" customHeight="1">
      <c r="A830" s="1532" t="s">
        <v>1009</v>
      </c>
      <c r="B830" s="1538"/>
      <c r="C830" s="963"/>
      <c r="D830" s="936" t="s">
        <v>1010</v>
      </c>
      <c r="E830" s="330">
        <v>1</v>
      </c>
      <c r="F830" s="48" t="s">
        <v>1011</v>
      </c>
      <c r="G830" s="48">
        <v>15</v>
      </c>
      <c r="H830" s="363"/>
    </row>
    <row r="831" spans="1:8" ht="24.75" customHeight="1">
      <c r="A831" s="1532" t="s">
        <v>1012</v>
      </c>
      <c r="B831" s="1538"/>
      <c r="C831" s="365"/>
      <c r="D831" s="366"/>
      <c r="E831" s="367"/>
      <c r="F831" s="368"/>
      <c r="G831" s="368">
        <f>SUM(G829:G830)</f>
        <v>45</v>
      </c>
      <c r="H831" s="363"/>
    </row>
    <row r="832" spans="1:8" ht="24.75" customHeight="1">
      <c r="A832" s="416"/>
      <c r="B832" s="944"/>
      <c r="C832" s="365"/>
      <c r="D832" s="366"/>
      <c r="E832" s="367"/>
      <c r="F832" s="368"/>
      <c r="G832" s="368"/>
      <c r="H832" s="363"/>
    </row>
    <row r="833" spans="1:8" ht="24.75" customHeight="1">
      <c r="A833" s="416"/>
      <c r="B833" s="944"/>
      <c r="C833" s="365"/>
      <c r="D833" s="366"/>
      <c r="E833" s="367"/>
      <c r="F833" s="368"/>
      <c r="G833" s="368"/>
      <c r="H833" s="363"/>
    </row>
    <row r="834" spans="1:8" ht="24.75" customHeight="1">
      <c r="A834" s="416"/>
      <c r="B834" s="944"/>
      <c r="C834" s="365"/>
      <c r="D834" s="366"/>
      <c r="E834" s="367"/>
      <c r="F834" s="368"/>
      <c r="G834" s="368"/>
      <c r="H834" s="363"/>
    </row>
    <row r="835" spans="1:8" ht="24.75" customHeight="1">
      <c r="A835" s="416"/>
      <c r="B835" s="944"/>
      <c r="C835" s="365"/>
      <c r="D835" s="366"/>
      <c r="E835" s="367"/>
      <c r="F835" s="368"/>
      <c r="G835" s="368"/>
      <c r="H835" s="363"/>
    </row>
    <row r="836" spans="1:8" ht="24.75" customHeight="1">
      <c r="A836" s="416"/>
      <c r="B836" s="944"/>
      <c r="C836" s="365"/>
      <c r="D836" s="366"/>
      <c r="E836" s="367"/>
      <c r="F836" s="368"/>
      <c r="G836" s="368"/>
      <c r="H836" s="363"/>
    </row>
    <row r="837" spans="1:8" ht="24.75" customHeight="1">
      <c r="A837" s="416"/>
      <c r="B837" s="944"/>
      <c r="C837" s="365"/>
      <c r="D837" s="366"/>
      <c r="E837" s="367"/>
      <c r="F837" s="368"/>
      <c r="G837" s="368"/>
      <c r="H837" s="363"/>
    </row>
    <row r="838" spans="1:8" ht="24.75" customHeight="1">
      <c r="A838" s="1532"/>
      <c r="B838" s="1538"/>
      <c r="C838" s="369"/>
      <c r="D838" s="362"/>
      <c r="E838" s="370"/>
      <c r="F838" s="368"/>
      <c r="G838" s="368"/>
      <c r="H838" s="364"/>
    </row>
    <row r="839" spans="1:8" ht="24.75" customHeight="1" thickBot="1">
      <c r="A839" s="337"/>
      <c r="B839" s="338"/>
      <c r="C839" s="338"/>
      <c r="D839" s="353" t="s">
        <v>476</v>
      </c>
      <c r="E839" s="339" t="s">
        <v>1201</v>
      </c>
      <c r="F839" s="439" t="s">
        <v>438</v>
      </c>
      <c r="G839" s="957">
        <f>G831</f>
        <v>45</v>
      </c>
      <c r="H839" s="382"/>
    </row>
    <row r="840" spans="1:8" ht="24.75" customHeight="1">
      <c r="A840" s="407" t="s">
        <v>565</v>
      </c>
      <c r="B840" s="342">
        <v>54</v>
      </c>
      <c r="C840" s="344" t="s">
        <v>442</v>
      </c>
      <c r="D840" s="419" t="s">
        <v>167</v>
      </c>
      <c r="E840" s="277"/>
      <c r="F840" s="277"/>
      <c r="G840" s="52" t="s">
        <v>468</v>
      </c>
      <c r="H840" s="280" t="s">
        <v>566</v>
      </c>
    </row>
    <row r="841" spans="1:8" ht="24.75" customHeight="1">
      <c r="A841" s="1600" t="s">
        <v>559</v>
      </c>
      <c r="B841" s="1601"/>
      <c r="C841" s="50" t="s">
        <v>469</v>
      </c>
      <c r="D841" s="420" t="s">
        <v>470</v>
      </c>
      <c r="E841" s="38" t="s">
        <v>471</v>
      </c>
      <c r="F841" s="417" t="s">
        <v>472</v>
      </c>
      <c r="G841" s="38" t="s">
        <v>473</v>
      </c>
      <c r="H841" s="51" t="s">
        <v>474</v>
      </c>
    </row>
    <row r="842" spans="1:8" ht="24.75" customHeight="1">
      <c r="A842" s="1592" t="s">
        <v>294</v>
      </c>
      <c r="B842" s="1593"/>
      <c r="C842" s="955" t="s">
        <v>157</v>
      </c>
      <c r="D842" s="40" t="s">
        <v>414</v>
      </c>
      <c r="E842" s="219">
        <v>1</v>
      </c>
      <c r="F842" s="48" t="s">
        <v>475</v>
      </c>
      <c r="G842" s="48">
        <v>2500</v>
      </c>
      <c r="H842" s="207"/>
    </row>
    <row r="843" spans="1:8" ht="24.75" customHeight="1">
      <c r="A843" s="1608" t="s">
        <v>581</v>
      </c>
      <c r="B843" s="1609"/>
      <c r="C843" s="325" t="s">
        <v>582</v>
      </c>
      <c r="D843" s="38" t="s">
        <v>467</v>
      </c>
      <c r="E843" s="233">
        <v>0.08</v>
      </c>
      <c r="F843" s="48">
        <v>900</v>
      </c>
      <c r="G843" s="48">
        <f>F843*E843</f>
        <v>72</v>
      </c>
      <c r="H843" s="207"/>
    </row>
    <row r="844" spans="1:8" ht="24.75" customHeight="1">
      <c r="A844" s="1608" t="s">
        <v>581</v>
      </c>
      <c r="B844" s="1610"/>
      <c r="C844" s="326" t="s">
        <v>583</v>
      </c>
      <c r="D844" s="40" t="s">
        <v>467</v>
      </c>
      <c r="E844" s="233">
        <v>0.3</v>
      </c>
      <c r="F844" s="48">
        <v>700</v>
      </c>
      <c r="G844" s="48">
        <f>F844*E844</f>
        <v>210</v>
      </c>
      <c r="H844" s="207" t="s">
        <v>603</v>
      </c>
    </row>
    <row r="845" spans="1:8" ht="24.75" customHeight="1">
      <c r="A845" s="1608" t="s">
        <v>572</v>
      </c>
      <c r="B845" s="1610"/>
      <c r="C845" s="422"/>
      <c r="D845" s="40" t="s">
        <v>414</v>
      </c>
      <c r="E845" s="48">
        <v>1</v>
      </c>
      <c r="F845" s="48" t="s">
        <v>475</v>
      </c>
      <c r="G845" s="48">
        <v>50</v>
      </c>
      <c r="H845" s="207" t="s">
        <v>573</v>
      </c>
    </row>
    <row r="846" spans="1:8" ht="24.75" customHeight="1">
      <c r="A846" s="1608" t="s">
        <v>574</v>
      </c>
      <c r="B846" s="1610"/>
      <c r="C846" s="643" t="s">
        <v>575</v>
      </c>
      <c r="D846" s="40" t="s">
        <v>576</v>
      </c>
      <c r="E846" s="48">
        <v>1</v>
      </c>
      <c r="F846" s="48" t="s">
        <v>475</v>
      </c>
      <c r="G846" s="48">
        <v>18</v>
      </c>
      <c r="H846" s="207"/>
    </row>
    <row r="847" spans="1:8" ht="24.75" customHeight="1">
      <c r="A847" s="1608" t="s">
        <v>577</v>
      </c>
      <c r="B847" s="1610"/>
      <c r="C847" s="49"/>
      <c r="D847" s="208"/>
      <c r="E847" s="208"/>
      <c r="F847" s="208"/>
      <c r="G847" s="48">
        <f>SUM(G842:G846)</f>
        <v>2850</v>
      </c>
      <c r="H847" s="209"/>
    </row>
    <row r="848" spans="1:8" ht="24.75" customHeight="1">
      <c r="A848" s="416"/>
      <c r="B848" s="878"/>
      <c r="C848" s="49"/>
      <c r="D848" s="208"/>
      <c r="E848" s="208"/>
      <c r="F848" s="208"/>
      <c r="G848" s="48"/>
      <c r="H848" s="209"/>
    </row>
    <row r="849" spans="1:8" ht="24.75" customHeight="1">
      <c r="A849" s="416"/>
      <c r="B849" s="878"/>
      <c r="C849" s="49"/>
      <c r="D849" s="208"/>
      <c r="E849" s="208"/>
      <c r="F849" s="208"/>
      <c r="G849" s="48"/>
      <c r="H849" s="209"/>
    </row>
    <row r="850" spans="1:8" ht="24.75" customHeight="1">
      <c r="A850" s="1532"/>
      <c r="B850" s="1533"/>
      <c r="C850" s="49"/>
      <c r="D850" s="208"/>
      <c r="E850" s="208"/>
      <c r="F850" s="208"/>
      <c r="G850" s="48"/>
      <c r="H850" s="209"/>
    </row>
    <row r="851" spans="1:8" ht="24.75" customHeight="1" thickBot="1">
      <c r="A851" s="1604"/>
      <c r="B851" s="1605"/>
      <c r="C851" s="1606"/>
      <c r="D851" s="353" t="s">
        <v>589</v>
      </c>
      <c r="E851" s="438" t="s">
        <v>590</v>
      </c>
      <c r="F851" s="439" t="s">
        <v>438</v>
      </c>
      <c r="G851" s="210">
        <f>G847</f>
        <v>2850</v>
      </c>
      <c r="H851" s="211"/>
    </row>
    <row r="852" spans="1:8" ht="24.75" customHeight="1">
      <c r="A852" s="1139"/>
      <c r="B852" s="1346"/>
      <c r="C852" s="1346"/>
      <c r="D852" s="1144"/>
      <c r="E852" s="1347"/>
      <c r="F852" s="1141"/>
      <c r="G852" s="1348"/>
      <c r="H852" s="1349"/>
    </row>
    <row r="853" spans="1:8" ht="24.75" customHeight="1">
      <c r="A853" s="29" t="s">
        <v>457</v>
      </c>
      <c r="B853" s="29"/>
      <c r="C853" s="29"/>
      <c r="D853" s="29"/>
      <c r="E853" s="29" t="s">
        <v>458</v>
      </c>
      <c r="F853" s="29"/>
      <c r="G853" s="29"/>
      <c r="H853" s="29"/>
    </row>
    <row r="854" spans="1:8" ht="24.75" customHeight="1">
      <c r="A854" s="238" t="str">
        <f>A823</f>
        <v>經濟部水利署第十河川局</v>
      </c>
      <c r="B854" s="430"/>
      <c r="C854" s="430"/>
      <c r="D854" s="430"/>
      <c r="E854" s="430"/>
      <c r="F854" s="430"/>
      <c r="G854" s="430"/>
      <c r="H854" s="430"/>
    </row>
    <row r="855" spans="1:8" ht="24.75" customHeight="1">
      <c r="A855" s="239" t="str">
        <f>A824</f>
        <v>單  價  分  析  表</v>
      </c>
      <c r="B855" s="430"/>
      <c r="C855" s="430"/>
      <c r="D855" s="430"/>
      <c r="E855" s="430"/>
      <c r="F855" s="430"/>
      <c r="G855" s="430"/>
      <c r="H855" s="430"/>
    </row>
    <row r="856" spans="1:8" ht="24.75" customHeight="1">
      <c r="A856" s="1510" t="str">
        <f>A825</f>
        <v>工程名稱:基隆河整體治理計劃（前期計劃）瑞芳區塊介壽橋下游左右岸護岸工程</v>
      </c>
      <c r="B856" s="1510"/>
      <c r="C856" s="1510"/>
      <c r="D856" s="1510"/>
      <c r="E856" s="1510"/>
      <c r="F856" s="1510"/>
      <c r="G856" s="1510"/>
      <c r="H856" s="253" t="s">
        <v>1065</v>
      </c>
    </row>
    <row r="857" spans="1:8" ht="24.75" customHeight="1" thickBot="1">
      <c r="A857" s="1545" t="str">
        <f>A826</f>
        <v>施工地點：台北縣瑞芳鎮</v>
      </c>
      <c r="B857" s="1545"/>
      <c r="C857" s="1545"/>
      <c r="D857" s="1545"/>
      <c r="E857" s="431"/>
      <c r="F857" s="431"/>
      <c r="G857" s="1546" t="s">
        <v>4</v>
      </c>
      <c r="H857" s="1546"/>
    </row>
    <row r="858" spans="1:8" ht="24.75" customHeight="1">
      <c r="A858" s="358" t="s">
        <v>436</v>
      </c>
      <c r="B858" s="359">
        <v>55</v>
      </c>
      <c r="C858" s="344" t="s">
        <v>442</v>
      </c>
      <c r="D858" s="1550" t="s">
        <v>115</v>
      </c>
      <c r="E858" s="1551"/>
      <c r="F858" s="1552"/>
      <c r="G858" s="360" t="s">
        <v>468</v>
      </c>
      <c r="H858" s="423" t="s">
        <v>120</v>
      </c>
    </row>
    <row r="859" spans="1:8" ht="24.75" customHeight="1">
      <c r="A859" s="1600" t="s">
        <v>559</v>
      </c>
      <c r="B859" s="1601"/>
      <c r="C859" s="50" t="s">
        <v>469</v>
      </c>
      <c r="D859" s="420" t="s">
        <v>470</v>
      </c>
      <c r="E859" s="38" t="s">
        <v>471</v>
      </c>
      <c r="F859" s="417" t="s">
        <v>472</v>
      </c>
      <c r="G859" s="38" t="s">
        <v>473</v>
      </c>
      <c r="H859" s="51" t="s">
        <v>474</v>
      </c>
    </row>
    <row r="860" spans="1:8" ht="24.75" customHeight="1">
      <c r="A860" s="1631" t="s">
        <v>116</v>
      </c>
      <c r="B860" s="1632"/>
      <c r="C860" s="961"/>
      <c r="D860" s="420" t="s">
        <v>118</v>
      </c>
      <c r="E860" s="38">
        <v>100</v>
      </c>
      <c r="F860" s="417">
        <v>0.5</v>
      </c>
      <c r="G860" s="38">
        <f>ROUND(E860*F860,2)</f>
        <v>50</v>
      </c>
      <c r="H860" s="959"/>
    </row>
    <row r="861" spans="1:8" ht="24.75" customHeight="1">
      <c r="A861" s="1631" t="s">
        <v>117</v>
      </c>
      <c r="B861" s="1632" t="s">
        <v>117</v>
      </c>
      <c r="C861" s="963"/>
      <c r="D861" s="420" t="s">
        <v>741</v>
      </c>
      <c r="E861" s="38">
        <v>1</v>
      </c>
      <c r="F861" s="417">
        <v>10</v>
      </c>
      <c r="G861" s="38">
        <f>ROUND(E861*F861,2)</f>
        <v>10</v>
      </c>
      <c r="H861" s="363"/>
    </row>
    <row r="862" spans="1:8" ht="24.75" customHeight="1">
      <c r="A862" s="1608" t="s">
        <v>577</v>
      </c>
      <c r="B862" s="1610"/>
      <c r="C862" s="365"/>
      <c r="D862" s="420"/>
      <c r="E862" s="38"/>
      <c r="F862" s="417"/>
      <c r="G862" s="38">
        <f>SUM(G860:G861)</f>
        <v>60</v>
      </c>
      <c r="H862" s="363"/>
    </row>
    <row r="863" spans="1:8" ht="24.75" customHeight="1">
      <c r="A863" s="416"/>
      <c r="B863" s="944"/>
      <c r="C863" s="1374" t="s">
        <v>123</v>
      </c>
      <c r="D863" s="420" t="s">
        <v>121</v>
      </c>
      <c r="E863" s="420" t="s">
        <v>122</v>
      </c>
      <c r="F863" s="1394"/>
      <c r="G863" s="1395"/>
      <c r="H863" s="363"/>
    </row>
    <row r="864" spans="1:8" ht="24.75" customHeight="1">
      <c r="A864" s="416"/>
      <c r="B864" s="944"/>
      <c r="C864" s="365"/>
      <c r="D864" s="366"/>
      <c r="E864" s="367"/>
      <c r="F864" s="368"/>
      <c r="G864" s="368"/>
      <c r="H864" s="363"/>
    </row>
    <row r="865" spans="1:8" ht="24.75" customHeight="1">
      <c r="A865" s="416"/>
      <c r="B865" s="944"/>
      <c r="C865" s="365"/>
      <c r="D865" s="366"/>
      <c r="E865" s="367"/>
      <c r="F865" s="368"/>
      <c r="G865" s="368"/>
      <c r="H865" s="363"/>
    </row>
    <row r="866" spans="1:8" ht="24.75" customHeight="1">
      <c r="A866" s="416"/>
      <c r="B866" s="944"/>
      <c r="C866" s="365"/>
      <c r="D866" s="366"/>
      <c r="E866" s="367"/>
      <c r="F866" s="368"/>
      <c r="G866" s="368"/>
      <c r="H866" s="363"/>
    </row>
    <row r="867" spans="1:8" ht="24.75" customHeight="1">
      <c r="A867" s="416"/>
      <c r="B867" s="944"/>
      <c r="C867" s="365"/>
      <c r="D867" s="366"/>
      <c r="E867" s="367"/>
      <c r="F867" s="368"/>
      <c r="G867" s="368"/>
      <c r="H867" s="363"/>
    </row>
    <row r="868" spans="1:8" ht="24.75" customHeight="1">
      <c r="A868" s="416"/>
      <c r="B868" s="944"/>
      <c r="C868" s="365"/>
      <c r="D868" s="366"/>
      <c r="E868" s="367"/>
      <c r="F868" s="368"/>
      <c r="G868" s="368"/>
      <c r="H868" s="363"/>
    </row>
    <row r="869" spans="1:8" ht="24.75" customHeight="1">
      <c r="A869" s="1532"/>
      <c r="B869" s="1538"/>
      <c r="C869" s="369"/>
      <c r="D869" s="362"/>
      <c r="E869" s="370"/>
      <c r="F869" s="368"/>
      <c r="G869" s="368"/>
      <c r="H869" s="364"/>
    </row>
    <row r="870" spans="1:8" ht="24.75" customHeight="1" thickBot="1">
      <c r="A870" s="1604"/>
      <c r="B870" s="1605"/>
      <c r="C870" s="1606"/>
      <c r="D870" s="353" t="s">
        <v>589</v>
      </c>
      <c r="E870" s="438" t="s">
        <v>119</v>
      </c>
      <c r="F870" s="439" t="s">
        <v>438</v>
      </c>
      <c r="G870" s="957">
        <v>0.6</v>
      </c>
      <c r="H870" s="382"/>
    </row>
    <row r="871" spans="1:8" ht="24.75" customHeight="1">
      <c r="A871" s="341" t="s">
        <v>1453</v>
      </c>
      <c r="B871" s="390">
        <v>56</v>
      </c>
      <c r="C871" s="624" t="s">
        <v>817</v>
      </c>
      <c r="D871" s="1584" t="s">
        <v>1454</v>
      </c>
      <c r="E871" s="1585"/>
      <c r="F871" s="1586"/>
      <c r="G871" s="390" t="s">
        <v>541</v>
      </c>
      <c r="H871" s="1405" t="s">
        <v>602</v>
      </c>
    </row>
    <row r="872" spans="1:8" ht="24.75" customHeight="1">
      <c r="A872" s="1633" t="s">
        <v>1455</v>
      </c>
      <c r="B872" s="1629"/>
      <c r="C872" s="391" t="s">
        <v>1456</v>
      </c>
      <c r="D872" s="391" t="s">
        <v>541</v>
      </c>
      <c r="E872" s="391" t="s">
        <v>1457</v>
      </c>
      <c r="F872" s="391" t="s">
        <v>1458</v>
      </c>
      <c r="G872" s="391" t="s">
        <v>1459</v>
      </c>
      <c r="H872" s="392" t="s">
        <v>1460</v>
      </c>
    </row>
    <row r="873" spans="1:8" ht="24.75" customHeight="1">
      <c r="A873" s="1633" t="s">
        <v>1461</v>
      </c>
      <c r="B873" s="1629"/>
      <c r="C873" s="889"/>
      <c r="D873" s="889" t="s">
        <v>1462</v>
      </c>
      <c r="E873" s="1407">
        <v>0.95</v>
      </c>
      <c r="F873" s="1407">
        <v>300</v>
      </c>
      <c r="G873" s="1409">
        <f>E873*F873</f>
        <v>285</v>
      </c>
      <c r="H873" s="393"/>
    </row>
    <row r="874" spans="1:8" ht="24.75" customHeight="1">
      <c r="A874" s="1633" t="s">
        <v>1463</v>
      </c>
      <c r="B874" s="1629"/>
      <c r="C874" s="889"/>
      <c r="D874" s="889" t="s">
        <v>599</v>
      </c>
      <c r="E874" s="1407">
        <v>0.5</v>
      </c>
      <c r="F874" s="1407">
        <v>8</v>
      </c>
      <c r="G874" s="1409">
        <f>E874*F874</f>
        <v>4</v>
      </c>
      <c r="H874" s="393"/>
    </row>
    <row r="875" spans="1:8" ht="24.75" customHeight="1">
      <c r="A875" s="1633" t="s">
        <v>1464</v>
      </c>
      <c r="B875" s="1629"/>
      <c r="C875" s="889"/>
      <c r="D875" s="889" t="s">
        <v>1038</v>
      </c>
      <c r="E875" s="1407">
        <v>1</v>
      </c>
      <c r="F875" s="330" t="s">
        <v>475</v>
      </c>
      <c r="G875" s="1409">
        <v>50</v>
      </c>
      <c r="H875" s="393"/>
    </row>
    <row r="876" spans="1:8" ht="24.75" customHeight="1">
      <c r="A876" s="1633" t="s">
        <v>1465</v>
      </c>
      <c r="B876" s="1629"/>
      <c r="C876" s="889"/>
      <c r="D876" s="889" t="s">
        <v>1038</v>
      </c>
      <c r="E876" s="1407">
        <v>1</v>
      </c>
      <c r="F876" s="330" t="s">
        <v>475</v>
      </c>
      <c r="G876" s="1409">
        <v>100</v>
      </c>
      <c r="H876" s="393"/>
    </row>
    <row r="877" spans="1:8" ht="24.75" customHeight="1">
      <c r="A877" s="1633" t="s">
        <v>1466</v>
      </c>
      <c r="B877" s="1629"/>
      <c r="C877" s="889"/>
      <c r="D877" s="889" t="s">
        <v>1038</v>
      </c>
      <c r="E877" s="1407">
        <v>1</v>
      </c>
      <c r="F877" s="330" t="s">
        <v>475</v>
      </c>
      <c r="G877" s="1409">
        <v>21</v>
      </c>
      <c r="H877" s="393"/>
    </row>
    <row r="878" spans="1:8" ht="24.75" customHeight="1">
      <c r="A878" s="1633" t="s">
        <v>1039</v>
      </c>
      <c r="B878" s="1629"/>
      <c r="C878" s="889"/>
      <c r="D878" s="889"/>
      <c r="E878" s="1407"/>
      <c r="F878" s="1407"/>
      <c r="G878" s="1409">
        <f>SUM(G873:G877)</f>
        <v>460</v>
      </c>
      <c r="H878" s="393"/>
    </row>
    <row r="879" spans="1:8" ht="24.75" customHeight="1">
      <c r="A879" s="1406"/>
      <c r="B879" s="1403"/>
      <c r="C879" s="889"/>
      <c r="D879" s="889"/>
      <c r="E879" s="1407"/>
      <c r="F879" s="1407"/>
      <c r="G879" s="1409"/>
      <c r="H879" s="393"/>
    </row>
    <row r="880" spans="1:8" ht="24.75" customHeight="1">
      <c r="A880" s="1406"/>
      <c r="B880" s="1403"/>
      <c r="C880" s="889"/>
      <c r="D880" s="889"/>
      <c r="E880" s="1407"/>
      <c r="F880" s="1407"/>
      <c r="G880" s="1409"/>
      <c r="H880" s="393"/>
    </row>
    <row r="881" spans="1:8" ht="24.75" customHeight="1">
      <c r="A881" s="328"/>
      <c r="B881" s="333"/>
      <c r="C881" s="335"/>
      <c r="D881" s="40"/>
      <c r="E881" s="330"/>
      <c r="F881" s="330"/>
      <c r="G881" s="330"/>
      <c r="H881" s="352"/>
    </row>
    <row r="882" spans="1:8" ht="24.75" customHeight="1" thickBot="1">
      <c r="A882" s="337"/>
      <c r="B882" s="338"/>
      <c r="C882" s="338"/>
      <c r="D882" s="353" t="s">
        <v>591</v>
      </c>
      <c r="E882" s="1410" t="s">
        <v>590</v>
      </c>
      <c r="F882" s="339" t="s">
        <v>438</v>
      </c>
      <c r="G882" s="354">
        <f>G878</f>
        <v>460</v>
      </c>
      <c r="H882" s="340"/>
    </row>
    <row r="883" spans="1:8" ht="24.75" customHeight="1">
      <c r="A883" s="1139"/>
      <c r="B883" s="1139"/>
      <c r="C883" s="1139"/>
      <c r="D883" s="1144"/>
      <c r="E883" s="1411"/>
      <c r="F883" s="1140"/>
      <c r="G883" s="1143"/>
      <c r="H883" s="1143"/>
    </row>
    <row r="884" spans="1:8" ht="24.75" customHeight="1">
      <c r="A884" s="29" t="s">
        <v>457</v>
      </c>
      <c r="B884" s="29"/>
      <c r="C884" s="29"/>
      <c r="D884" s="29"/>
      <c r="E884" s="29" t="s">
        <v>458</v>
      </c>
      <c r="F884" s="29"/>
      <c r="G884" s="29"/>
      <c r="H884" s="29"/>
    </row>
    <row r="885" spans="1:8" ht="24.75" customHeight="1">
      <c r="A885" s="238" t="str">
        <f>A854</f>
        <v>經濟部水利署第十河川局</v>
      </c>
      <c r="B885" s="430"/>
      <c r="C885" s="430"/>
      <c r="D885" s="430"/>
      <c r="E885" s="430"/>
      <c r="F885" s="430"/>
      <c r="G885" s="430"/>
      <c r="H885" s="430"/>
    </row>
    <row r="886" spans="1:8" ht="24.75" customHeight="1">
      <c r="A886" s="239" t="str">
        <f>A855</f>
        <v>單  價  分  析  表</v>
      </c>
      <c r="B886" s="430"/>
      <c r="C886" s="430"/>
      <c r="D886" s="430"/>
      <c r="E886" s="430"/>
      <c r="F886" s="430"/>
      <c r="G886" s="430"/>
      <c r="H886" s="430"/>
    </row>
    <row r="887" spans="1:8" ht="24.75" customHeight="1">
      <c r="A887" s="1510" t="str">
        <f>A856</f>
        <v>工程名稱:基隆河整體治理計劃（前期計劃）瑞芳區塊介壽橋下游左右岸護岸工程</v>
      </c>
      <c r="B887" s="1510"/>
      <c r="C887" s="1510"/>
      <c r="D887" s="1510"/>
      <c r="E887" s="1510"/>
      <c r="F887" s="1510"/>
      <c r="G887" s="1510"/>
      <c r="H887" s="253" t="s">
        <v>1065</v>
      </c>
    </row>
    <row r="888" spans="1:8" ht="24.75" customHeight="1" thickBot="1">
      <c r="A888" s="1545" t="str">
        <f>A857</f>
        <v>施工地點：台北縣瑞芳鎮</v>
      </c>
      <c r="B888" s="1545"/>
      <c r="C888" s="1545"/>
      <c r="D888" s="1545"/>
      <c r="E888" s="431"/>
      <c r="F888" s="431"/>
      <c r="G888" s="1546" t="s">
        <v>3</v>
      </c>
      <c r="H888" s="1546"/>
    </row>
    <row r="889" spans="1:8" ht="24.75" customHeight="1">
      <c r="A889" s="341" t="s">
        <v>565</v>
      </c>
      <c r="B889" s="342">
        <v>57</v>
      </c>
      <c r="C889" s="624" t="s">
        <v>817</v>
      </c>
      <c r="D889" s="1556" t="s">
        <v>1482</v>
      </c>
      <c r="E889" s="1570"/>
      <c r="F889" s="1571"/>
      <c r="G889" s="52" t="s">
        <v>1467</v>
      </c>
      <c r="H889" s="934" t="s">
        <v>1468</v>
      </c>
    </row>
    <row r="890" spans="1:8" ht="24.75" customHeight="1">
      <c r="A890" s="1536" t="s">
        <v>1469</v>
      </c>
      <c r="B890" s="1562"/>
      <c r="C890" s="888" t="s">
        <v>469</v>
      </c>
      <c r="D890" s="888" t="s">
        <v>470</v>
      </c>
      <c r="E890" s="897" t="s">
        <v>471</v>
      </c>
      <c r="F890" s="897" t="s">
        <v>472</v>
      </c>
      <c r="G890" s="897" t="s">
        <v>1470</v>
      </c>
      <c r="H890" s="898" t="s">
        <v>1471</v>
      </c>
    </row>
    <row r="891" spans="1:8" ht="24.75" customHeight="1">
      <c r="A891" s="1634" t="s">
        <v>1482</v>
      </c>
      <c r="B891" s="1635"/>
      <c r="C891" s="1412" t="s">
        <v>1492</v>
      </c>
      <c r="D891" s="366" t="s">
        <v>1468</v>
      </c>
      <c r="E891" s="919">
        <v>1</v>
      </c>
      <c r="F891" s="1413">
        <v>25</v>
      </c>
      <c r="G891" s="919">
        <f>E891*F891</f>
        <v>25</v>
      </c>
      <c r="H891" s="633" t="s">
        <v>1473</v>
      </c>
    </row>
    <row r="892" spans="1:8" ht="24.75" customHeight="1">
      <c r="A892" s="1634" t="s">
        <v>1474</v>
      </c>
      <c r="B892" s="1635"/>
      <c r="C892" s="1007" t="s">
        <v>1475</v>
      </c>
      <c r="D892" s="40" t="s">
        <v>35</v>
      </c>
      <c r="E892" s="919">
        <v>1</v>
      </c>
      <c r="F892" s="1413">
        <v>10</v>
      </c>
      <c r="G892" s="919">
        <f>E892*F892</f>
        <v>10</v>
      </c>
      <c r="H892" s="909"/>
    </row>
    <row r="893" spans="1:8" ht="24.75" customHeight="1">
      <c r="A893" s="1634" t="s">
        <v>1476</v>
      </c>
      <c r="B893" s="1635"/>
      <c r="C893" s="1414"/>
      <c r="D893" s="366" t="s">
        <v>728</v>
      </c>
      <c r="E893" s="919">
        <v>0.01</v>
      </c>
      <c r="F893" s="1413">
        <v>700</v>
      </c>
      <c r="G893" s="919">
        <f>E893*F893</f>
        <v>7</v>
      </c>
      <c r="H893" s="913"/>
    </row>
    <row r="894" spans="1:8" ht="24.75" customHeight="1">
      <c r="A894" s="1638" t="s">
        <v>1477</v>
      </c>
      <c r="B894" s="1639"/>
      <c r="C894" s="369"/>
      <c r="D894" s="362" t="s">
        <v>467</v>
      </c>
      <c r="E894" s="370">
        <v>0.01</v>
      </c>
      <c r="F894" s="368">
        <v>900</v>
      </c>
      <c r="G894" s="919">
        <f>E894*F894</f>
        <v>9</v>
      </c>
      <c r="H894" s="913"/>
    </row>
    <row r="895" spans="1:8" ht="24.75" customHeight="1">
      <c r="A895" s="1636" t="s">
        <v>825</v>
      </c>
      <c r="B895" s="1637"/>
      <c r="C895" s="1417"/>
      <c r="D895" s="40" t="s">
        <v>414</v>
      </c>
      <c r="E895" s="48">
        <v>1</v>
      </c>
      <c r="F895" s="1262" t="s">
        <v>774</v>
      </c>
      <c r="G895" s="919">
        <v>4</v>
      </c>
      <c r="H895" s="46"/>
    </row>
    <row r="896" spans="1:8" ht="24.75" customHeight="1">
      <c r="A896" s="1564" t="s">
        <v>1040</v>
      </c>
      <c r="B896" s="1565"/>
      <c r="C896" s="1417"/>
      <c r="D896" s="40"/>
      <c r="E896" s="48"/>
      <c r="F896" s="48"/>
      <c r="G896" s="48">
        <f>SUM(G891:G895)</f>
        <v>55</v>
      </c>
      <c r="H896" s="46"/>
    </row>
    <row r="897" spans="1:8" ht="24.75" customHeight="1">
      <c r="A897" s="886"/>
      <c r="B897" s="887"/>
      <c r="C897" s="1417"/>
      <c r="D897" s="40"/>
      <c r="E897" s="48"/>
      <c r="F897" s="48"/>
      <c r="G897" s="48"/>
      <c r="H897" s="46"/>
    </row>
    <row r="898" spans="1:8" ht="24.75" customHeight="1">
      <c r="A898" s="886"/>
      <c r="B898" s="887"/>
      <c r="C898" s="1417"/>
      <c r="D898" s="40"/>
      <c r="E898" s="1008"/>
      <c r="F898" s="48"/>
      <c r="G898" s="48"/>
      <c r="H898" s="46"/>
    </row>
    <row r="899" spans="1:8" ht="24.75" customHeight="1">
      <c r="A899" s="1415"/>
      <c r="B899" s="1416"/>
      <c r="C899" s="325"/>
      <c r="D899" s="1418"/>
      <c r="E899" s="1419"/>
      <c r="F899" s="1420"/>
      <c r="G899" s="48"/>
      <c r="H899" s="207"/>
    </row>
    <row r="900" spans="1:8" ht="24.75" customHeight="1" thickBot="1">
      <c r="A900" s="1051"/>
      <c r="B900" s="593"/>
      <c r="C900" s="593"/>
      <c r="D900" s="594" t="s">
        <v>601</v>
      </c>
      <c r="E900" s="1432" t="s">
        <v>1478</v>
      </c>
      <c r="F900" s="595" t="s">
        <v>438</v>
      </c>
      <c r="G900" s="354">
        <f>G896</f>
        <v>55</v>
      </c>
      <c r="H900" s="1009"/>
    </row>
    <row r="901" spans="1:8" ht="24.75" customHeight="1">
      <c r="A901" s="341" t="s">
        <v>565</v>
      </c>
      <c r="B901" s="342">
        <v>58</v>
      </c>
      <c r="C901" s="624" t="s">
        <v>1479</v>
      </c>
      <c r="D901" s="1556" t="s">
        <v>1483</v>
      </c>
      <c r="E901" s="1570"/>
      <c r="F901" s="1571"/>
      <c r="G901" s="52" t="s">
        <v>1480</v>
      </c>
      <c r="H901" s="934" t="s">
        <v>1481</v>
      </c>
    </row>
    <row r="902" spans="1:8" ht="24.75" customHeight="1">
      <c r="A902" s="1536" t="s">
        <v>1469</v>
      </c>
      <c r="B902" s="1562"/>
      <c r="C902" s="888" t="s">
        <v>469</v>
      </c>
      <c r="D902" s="888" t="s">
        <v>470</v>
      </c>
      <c r="E902" s="897" t="s">
        <v>471</v>
      </c>
      <c r="F902" s="897" t="s">
        <v>472</v>
      </c>
      <c r="G902" s="897" t="s">
        <v>1470</v>
      </c>
      <c r="H902" s="898" t="s">
        <v>1471</v>
      </c>
    </row>
    <row r="903" spans="1:8" ht="24.75" customHeight="1">
      <c r="A903" s="1634" t="s">
        <v>1483</v>
      </c>
      <c r="B903" s="1635"/>
      <c r="C903" s="1412"/>
      <c r="D903" s="366" t="s">
        <v>1468</v>
      </c>
      <c r="E903" s="919">
        <v>1</v>
      </c>
      <c r="F903" s="1413">
        <v>30</v>
      </c>
      <c r="G903" s="919">
        <f>E903*F903</f>
        <v>30</v>
      </c>
      <c r="H903" s="633" t="s">
        <v>1473</v>
      </c>
    </row>
    <row r="904" spans="1:8" ht="24.75" customHeight="1">
      <c r="A904" s="1634" t="s">
        <v>1474</v>
      </c>
      <c r="B904" s="1635"/>
      <c r="C904" s="1007" t="s">
        <v>1475</v>
      </c>
      <c r="D904" s="366" t="s">
        <v>33</v>
      </c>
      <c r="E904" s="919">
        <v>1</v>
      </c>
      <c r="F904" s="1413">
        <v>10</v>
      </c>
      <c r="G904" s="919">
        <f>E904*F904</f>
        <v>10</v>
      </c>
      <c r="H904" s="913"/>
    </row>
    <row r="905" spans="1:8" ht="24.75" customHeight="1">
      <c r="A905" s="1634" t="s">
        <v>1476</v>
      </c>
      <c r="B905" s="1635"/>
      <c r="C905" s="1414"/>
      <c r="D905" s="366" t="s">
        <v>728</v>
      </c>
      <c r="E905" s="919">
        <v>0.01</v>
      </c>
      <c r="F905" s="1413">
        <v>700</v>
      </c>
      <c r="G905" s="919">
        <f>E905*F905</f>
        <v>7</v>
      </c>
      <c r="H905" s="913"/>
    </row>
    <row r="906" spans="1:8" ht="24.75" customHeight="1">
      <c r="A906" s="1638" t="s">
        <v>1477</v>
      </c>
      <c r="B906" s="1639"/>
      <c r="C906" s="369"/>
      <c r="D906" s="362" t="s">
        <v>467</v>
      </c>
      <c r="E906" s="370">
        <v>0.01</v>
      </c>
      <c r="F906" s="368">
        <v>900</v>
      </c>
      <c r="G906" s="919">
        <f>E906*F906</f>
        <v>9</v>
      </c>
      <c r="H906" s="913"/>
    </row>
    <row r="907" spans="1:8" ht="24.75" customHeight="1">
      <c r="A907" s="1636" t="s">
        <v>825</v>
      </c>
      <c r="B907" s="1637"/>
      <c r="C907" s="1417"/>
      <c r="D907" s="40" t="s">
        <v>414</v>
      </c>
      <c r="E907" s="48">
        <v>1</v>
      </c>
      <c r="F907" s="1262" t="s">
        <v>774</v>
      </c>
      <c r="G907" s="48">
        <v>4</v>
      </c>
      <c r="H907" s="46"/>
    </row>
    <row r="908" spans="1:8" ht="24.75" customHeight="1">
      <c r="A908" s="1564" t="s">
        <v>1040</v>
      </c>
      <c r="B908" s="1565"/>
      <c r="C908" s="1417"/>
      <c r="D908" s="40"/>
      <c r="E908" s="48"/>
      <c r="F908" s="48"/>
      <c r="G908" s="48">
        <f>SUM(G903:G907)</f>
        <v>60</v>
      </c>
      <c r="H908" s="46"/>
    </row>
    <row r="909" spans="1:8" ht="24.75" customHeight="1">
      <c r="A909" s="886"/>
      <c r="B909" s="887"/>
      <c r="C909" s="1417"/>
      <c r="D909" s="40"/>
      <c r="E909" s="48"/>
      <c r="F909" s="48"/>
      <c r="G909" s="48"/>
      <c r="H909" s="46"/>
    </row>
    <row r="910" spans="1:8" ht="24.75" customHeight="1">
      <c r="A910" s="886"/>
      <c r="B910" s="887"/>
      <c r="C910" s="1417"/>
      <c r="D910" s="40"/>
      <c r="E910" s="1008"/>
      <c r="F910" s="48"/>
      <c r="G910" s="48"/>
      <c r="H910" s="46"/>
    </row>
    <row r="911" spans="1:8" ht="24.75" customHeight="1">
      <c r="A911" s="886"/>
      <c r="B911" s="887"/>
      <c r="C911" s="1417"/>
      <c r="D911" s="40"/>
      <c r="E911" s="1008"/>
      <c r="F911" s="48"/>
      <c r="G911" s="48"/>
      <c r="H911" s="46"/>
    </row>
    <row r="912" spans="1:8" ht="24.75" customHeight="1">
      <c r="A912" s="1415"/>
      <c r="B912" s="1416"/>
      <c r="C912" s="325"/>
      <c r="D912" s="1418"/>
      <c r="E912" s="1419"/>
      <c r="F912" s="1420"/>
      <c r="G912" s="48"/>
      <c r="H912" s="207"/>
    </row>
    <row r="913" spans="1:8" ht="24.75" customHeight="1" thickBot="1">
      <c r="A913" s="575"/>
      <c r="B913" s="576"/>
      <c r="C913" s="593"/>
      <c r="D913" s="594" t="s">
        <v>601</v>
      </c>
      <c r="E913" s="1432" t="s">
        <v>1478</v>
      </c>
      <c r="F913" s="595" t="s">
        <v>438</v>
      </c>
      <c r="G913" s="354">
        <f>G908</f>
        <v>60</v>
      </c>
      <c r="H913" s="1009"/>
    </row>
    <row r="914" spans="1:8" ht="24.75" customHeight="1">
      <c r="A914" s="1139"/>
      <c r="B914" s="1139"/>
      <c r="C914" s="1139"/>
      <c r="D914" s="1144"/>
      <c r="E914" s="1411"/>
      <c r="F914" s="1140"/>
      <c r="G914" s="1143"/>
      <c r="H914" s="1143"/>
    </row>
    <row r="915" spans="1:8" ht="24.75" customHeight="1">
      <c r="A915" s="29" t="s">
        <v>457</v>
      </c>
      <c r="B915" s="29"/>
      <c r="C915" s="29"/>
      <c r="D915" s="29"/>
      <c r="E915" s="29" t="s">
        <v>458</v>
      </c>
      <c r="F915" s="29"/>
      <c r="G915" s="29"/>
      <c r="H915" s="29"/>
    </row>
    <row r="916" spans="1:8" ht="24.75" customHeight="1">
      <c r="A916" s="238" t="str">
        <f>A885</f>
        <v>經濟部水利署第十河川局</v>
      </c>
      <c r="B916" s="430"/>
      <c r="C916" s="430"/>
      <c r="D916" s="430"/>
      <c r="E916" s="430"/>
      <c r="F916" s="430"/>
      <c r="G916" s="430"/>
      <c r="H916" s="430"/>
    </row>
    <row r="917" spans="1:8" ht="24.75" customHeight="1">
      <c r="A917" s="239" t="str">
        <f>A886</f>
        <v>單  價  分  析  表</v>
      </c>
      <c r="B917" s="430"/>
      <c r="C917" s="430"/>
      <c r="D917" s="430"/>
      <c r="E917" s="430"/>
      <c r="F917" s="430"/>
      <c r="G917" s="430"/>
      <c r="H917" s="430"/>
    </row>
    <row r="918" spans="1:8" ht="24.75" customHeight="1">
      <c r="A918" s="1510" t="str">
        <f>A887</f>
        <v>工程名稱:基隆河整體治理計劃（前期計劃）瑞芳區塊介壽橋下游左右岸護岸工程</v>
      </c>
      <c r="B918" s="1510"/>
      <c r="C918" s="1510"/>
      <c r="D918" s="1510"/>
      <c r="E918" s="1510"/>
      <c r="F918" s="1510"/>
      <c r="G918" s="1510"/>
      <c r="H918" s="253" t="s">
        <v>1065</v>
      </c>
    </row>
    <row r="919" spans="1:8" ht="24.75" customHeight="1" thickBot="1">
      <c r="A919" s="1545" t="str">
        <f>A888</f>
        <v>施工地點：台北縣瑞芳鎮</v>
      </c>
      <c r="B919" s="1545"/>
      <c r="C919" s="1545"/>
      <c r="D919" s="1545"/>
      <c r="E919" s="431"/>
      <c r="F919" s="431"/>
      <c r="G919" s="1546" t="s">
        <v>2</v>
      </c>
      <c r="H919" s="1546"/>
    </row>
    <row r="920" spans="1:8" ht="24.75" customHeight="1">
      <c r="A920" s="341" t="s">
        <v>565</v>
      </c>
      <c r="B920" s="342">
        <v>59</v>
      </c>
      <c r="C920" s="624" t="s">
        <v>817</v>
      </c>
      <c r="D920" s="1556" t="s">
        <v>1484</v>
      </c>
      <c r="E920" s="1570"/>
      <c r="F920" s="1571"/>
      <c r="G920" s="52" t="s">
        <v>1467</v>
      </c>
      <c r="H920" s="934" t="s">
        <v>1468</v>
      </c>
    </row>
    <row r="921" spans="1:8" ht="24.75" customHeight="1">
      <c r="A921" s="1536" t="s">
        <v>1469</v>
      </c>
      <c r="B921" s="1562"/>
      <c r="C921" s="888" t="s">
        <v>469</v>
      </c>
      <c r="D921" s="888" t="s">
        <v>470</v>
      </c>
      <c r="E921" s="897" t="s">
        <v>471</v>
      </c>
      <c r="F921" s="897" t="s">
        <v>472</v>
      </c>
      <c r="G921" s="897" t="s">
        <v>1470</v>
      </c>
      <c r="H921" s="898" t="s">
        <v>1471</v>
      </c>
    </row>
    <row r="922" spans="1:8" ht="24.75" customHeight="1">
      <c r="A922" s="1634" t="s">
        <v>1484</v>
      </c>
      <c r="B922" s="1635"/>
      <c r="C922" s="1412"/>
      <c r="D922" s="366" t="s">
        <v>1493</v>
      </c>
      <c r="E922" s="919">
        <v>1</v>
      </c>
      <c r="F922" s="1413">
        <v>10</v>
      </c>
      <c r="G922" s="919">
        <f>E922*F922</f>
        <v>10</v>
      </c>
      <c r="H922" s="633" t="s">
        <v>1473</v>
      </c>
    </row>
    <row r="923" spans="1:8" ht="24.75" customHeight="1">
      <c r="A923" s="1634" t="s">
        <v>1474</v>
      </c>
      <c r="B923" s="1635"/>
      <c r="C923" s="1007" t="s">
        <v>1475</v>
      </c>
      <c r="D923" s="40" t="s">
        <v>34</v>
      </c>
      <c r="E923" s="919">
        <v>1</v>
      </c>
      <c r="F923" s="1413">
        <v>10</v>
      </c>
      <c r="G923" s="919">
        <f>E923*F923</f>
        <v>10</v>
      </c>
      <c r="H923" s="913"/>
    </row>
    <row r="924" spans="1:8" ht="24.75" customHeight="1">
      <c r="A924" s="1634" t="s">
        <v>1476</v>
      </c>
      <c r="B924" s="1635"/>
      <c r="C924" s="1414"/>
      <c r="D924" s="366" t="s">
        <v>728</v>
      </c>
      <c r="E924" s="919">
        <v>0.01</v>
      </c>
      <c r="F924" s="1413">
        <v>700</v>
      </c>
      <c r="G924" s="919">
        <f>E924*F924</f>
        <v>7</v>
      </c>
      <c r="H924" s="913"/>
    </row>
    <row r="925" spans="1:8" ht="24.75" customHeight="1">
      <c r="A925" s="1638" t="s">
        <v>1477</v>
      </c>
      <c r="B925" s="1639"/>
      <c r="C925" s="369"/>
      <c r="D925" s="362" t="s">
        <v>467</v>
      </c>
      <c r="E925" s="370">
        <v>0.01</v>
      </c>
      <c r="F925" s="368">
        <v>900</v>
      </c>
      <c r="G925" s="919">
        <f>E925*F925</f>
        <v>9</v>
      </c>
      <c r="H925" s="913"/>
    </row>
    <row r="926" spans="1:8" ht="24.75" customHeight="1">
      <c r="A926" s="1636" t="s">
        <v>825</v>
      </c>
      <c r="B926" s="1637"/>
      <c r="C926" s="1417"/>
      <c r="D926" s="40" t="s">
        <v>414</v>
      </c>
      <c r="E926" s="48">
        <v>1</v>
      </c>
      <c r="F926" s="1262" t="s">
        <v>774</v>
      </c>
      <c r="G926" s="919">
        <v>4</v>
      </c>
      <c r="H926" s="46"/>
    </row>
    <row r="927" spans="1:8" ht="24.75" customHeight="1">
      <c r="A927" s="1564" t="s">
        <v>1040</v>
      </c>
      <c r="B927" s="1565"/>
      <c r="C927" s="1417"/>
      <c r="D927" s="40"/>
      <c r="E927" s="48"/>
      <c r="F927" s="48"/>
      <c r="G927" s="48">
        <f>SUM(G922:G926)</f>
        <v>40</v>
      </c>
      <c r="H927" s="46"/>
    </row>
    <row r="928" spans="1:8" ht="24.75" customHeight="1">
      <c r="A928" s="886"/>
      <c r="B928" s="887"/>
      <c r="C928" s="1417"/>
      <c r="D928" s="40"/>
      <c r="E928" s="48"/>
      <c r="F928" s="48"/>
      <c r="G928" s="48"/>
      <c r="H928" s="46"/>
    </row>
    <row r="929" spans="1:8" ht="24.75" customHeight="1">
      <c r="A929" s="886"/>
      <c r="B929" s="887"/>
      <c r="C929" s="1417"/>
      <c r="D929" s="40"/>
      <c r="E929" s="1008"/>
      <c r="F929" s="48"/>
      <c r="G929" s="48"/>
      <c r="H929" s="46"/>
    </row>
    <row r="930" spans="1:8" ht="24.75" customHeight="1">
      <c r="A930" s="1415"/>
      <c r="B930" s="1416"/>
      <c r="C930" s="325"/>
      <c r="D930" s="1418"/>
      <c r="E930" s="1419"/>
      <c r="F930" s="1420"/>
      <c r="G930" s="48"/>
      <c r="H930" s="207"/>
    </row>
    <row r="931" spans="1:8" ht="24.75" customHeight="1" thickBot="1">
      <c r="A931" s="575"/>
      <c r="B931" s="576"/>
      <c r="C931" s="593"/>
      <c r="D931" s="594" t="s">
        <v>601</v>
      </c>
      <c r="E931" s="1432" t="s">
        <v>1478</v>
      </c>
      <c r="F931" s="595" t="s">
        <v>438</v>
      </c>
      <c r="G931" s="354">
        <f>G927</f>
        <v>40</v>
      </c>
      <c r="H931" s="1009"/>
    </row>
    <row r="932" spans="1:8" ht="24.75" customHeight="1">
      <c r="A932" s="341" t="s">
        <v>565</v>
      </c>
      <c r="B932" s="342">
        <v>60</v>
      </c>
      <c r="C932" s="624" t="s">
        <v>1479</v>
      </c>
      <c r="D932" s="1556" t="s">
        <v>1485</v>
      </c>
      <c r="E932" s="1570"/>
      <c r="F932" s="1571"/>
      <c r="G932" s="52" t="s">
        <v>1480</v>
      </c>
      <c r="H932" s="934" t="s">
        <v>277</v>
      </c>
    </row>
    <row r="933" spans="1:8" ht="24.75" customHeight="1">
      <c r="A933" s="1536" t="s">
        <v>1469</v>
      </c>
      <c r="B933" s="1562"/>
      <c r="C933" s="888" t="s">
        <v>469</v>
      </c>
      <c r="D933" s="888" t="s">
        <v>470</v>
      </c>
      <c r="E933" s="897" t="s">
        <v>471</v>
      </c>
      <c r="F933" s="897" t="s">
        <v>472</v>
      </c>
      <c r="G933" s="897" t="s">
        <v>1470</v>
      </c>
      <c r="H933" s="898" t="s">
        <v>1471</v>
      </c>
    </row>
    <row r="934" spans="1:8" ht="24.75" customHeight="1">
      <c r="A934" s="1634" t="s">
        <v>1491</v>
      </c>
      <c r="B934" s="1635"/>
      <c r="C934" s="1412"/>
      <c r="D934" s="366" t="s">
        <v>1472</v>
      </c>
      <c r="E934" s="919">
        <v>1</v>
      </c>
      <c r="F934" s="1413">
        <v>140</v>
      </c>
      <c r="G934" s="919">
        <f>E934*F934</f>
        <v>140</v>
      </c>
      <c r="H934" s="633" t="s">
        <v>1473</v>
      </c>
    </row>
    <row r="935" spans="1:8" ht="24.75" customHeight="1">
      <c r="A935" s="1634" t="s">
        <v>1474</v>
      </c>
      <c r="B935" s="1635"/>
      <c r="C935" s="1007" t="s">
        <v>1475</v>
      </c>
      <c r="D935" s="40" t="s">
        <v>35</v>
      </c>
      <c r="E935" s="919">
        <v>1</v>
      </c>
      <c r="F935" s="1413">
        <v>10</v>
      </c>
      <c r="G935" s="919">
        <f>E935*F935</f>
        <v>10</v>
      </c>
      <c r="H935" s="913"/>
    </row>
    <row r="936" spans="1:8" ht="24.75" customHeight="1">
      <c r="A936" s="1634" t="s">
        <v>1476</v>
      </c>
      <c r="B936" s="1635"/>
      <c r="C936" s="1414"/>
      <c r="D936" s="366" t="s">
        <v>728</v>
      </c>
      <c r="E936" s="919">
        <v>0.03</v>
      </c>
      <c r="F936" s="1413">
        <v>700</v>
      </c>
      <c r="G936" s="919">
        <f>E936*F936</f>
        <v>21</v>
      </c>
      <c r="H936" s="913"/>
    </row>
    <row r="937" spans="1:8" ht="24.75" customHeight="1">
      <c r="A937" s="1638" t="s">
        <v>1477</v>
      </c>
      <c r="B937" s="1639"/>
      <c r="C937" s="369"/>
      <c r="D937" s="362" t="s">
        <v>467</v>
      </c>
      <c r="E937" s="370">
        <v>0.03</v>
      </c>
      <c r="F937" s="368">
        <v>900</v>
      </c>
      <c r="G937" s="919">
        <f>E937*F937</f>
        <v>27</v>
      </c>
      <c r="H937" s="913"/>
    </row>
    <row r="938" spans="1:8" ht="24.75" customHeight="1">
      <c r="A938" s="1636" t="s">
        <v>825</v>
      </c>
      <c r="B938" s="1637"/>
      <c r="C938" s="1417"/>
      <c r="D938" s="40" t="s">
        <v>414</v>
      </c>
      <c r="E938" s="48">
        <v>1</v>
      </c>
      <c r="F938" s="1262" t="s">
        <v>774</v>
      </c>
      <c r="G938" s="48">
        <v>12</v>
      </c>
      <c r="H938" s="46"/>
    </row>
    <row r="939" spans="1:8" ht="24.75" customHeight="1">
      <c r="A939" s="1564" t="s">
        <v>1040</v>
      </c>
      <c r="B939" s="1565"/>
      <c r="C939" s="1417"/>
      <c r="D939" s="40"/>
      <c r="E939" s="48"/>
      <c r="F939" s="48"/>
      <c r="G939" s="48">
        <f>SUM(G934:G938)</f>
        <v>210</v>
      </c>
      <c r="H939" s="46"/>
    </row>
    <row r="940" spans="1:8" ht="24.75" customHeight="1">
      <c r="A940" s="886"/>
      <c r="B940" s="887"/>
      <c r="C940" s="1417"/>
      <c r="D940" s="40"/>
      <c r="E940" s="48"/>
      <c r="F940" s="48"/>
      <c r="G940" s="48"/>
      <c r="H940" s="46"/>
    </row>
    <row r="941" spans="1:8" ht="24.75" customHeight="1">
      <c r="A941" s="886"/>
      <c r="B941" s="887"/>
      <c r="C941" s="1417"/>
      <c r="D941" s="40"/>
      <c r="E941" s="1008"/>
      <c r="F941" s="48"/>
      <c r="G941" s="48"/>
      <c r="H941" s="46"/>
    </row>
    <row r="942" spans="1:8" ht="24.75" customHeight="1">
      <c r="A942" s="886"/>
      <c r="B942" s="887"/>
      <c r="C942" s="1417"/>
      <c r="D942" s="40"/>
      <c r="E942" s="1008"/>
      <c r="F942" s="48"/>
      <c r="G942" s="48"/>
      <c r="H942" s="46"/>
    </row>
    <row r="943" spans="1:8" ht="24.75" customHeight="1">
      <c r="A943" s="1415"/>
      <c r="B943" s="1416"/>
      <c r="C943" s="325"/>
      <c r="D943" s="1418"/>
      <c r="E943" s="1419"/>
      <c r="F943" s="1420"/>
      <c r="G943" s="48"/>
      <c r="H943" s="207"/>
    </row>
    <row r="944" spans="1:8" ht="24.75" customHeight="1" thickBot="1">
      <c r="A944" s="575"/>
      <c r="B944" s="576"/>
      <c r="C944" s="576"/>
      <c r="D944" s="594" t="s">
        <v>601</v>
      </c>
      <c r="E944" s="596" t="s">
        <v>1090</v>
      </c>
      <c r="F944" s="595" t="s">
        <v>438</v>
      </c>
      <c r="G944" s="354">
        <f>G939</f>
        <v>210</v>
      </c>
      <c r="H944" s="1009"/>
    </row>
    <row r="945" spans="1:8" ht="24.75" customHeight="1">
      <c r="A945" s="1139"/>
      <c r="B945" s="1139"/>
      <c r="C945" s="1139"/>
      <c r="D945" s="1144"/>
      <c r="E945" s="1411"/>
      <c r="F945" s="1140"/>
      <c r="G945" s="1143"/>
      <c r="H945" s="1143"/>
    </row>
    <row r="946" spans="1:8" ht="24.75" customHeight="1">
      <c r="A946" s="29" t="s">
        <v>457</v>
      </c>
      <c r="B946" s="29"/>
      <c r="C946" s="29"/>
      <c r="D946" s="29"/>
      <c r="E946" s="29" t="s">
        <v>458</v>
      </c>
      <c r="F946" s="29"/>
      <c r="G946" s="29"/>
      <c r="H946" s="29"/>
    </row>
    <row r="947" spans="1:8" ht="24.75" customHeight="1">
      <c r="A947" s="238" t="str">
        <f>A916</f>
        <v>經濟部水利署第十河川局</v>
      </c>
      <c r="B947" s="430"/>
      <c r="C947" s="430"/>
      <c r="D947" s="430"/>
      <c r="E947" s="430"/>
      <c r="F947" s="430"/>
      <c r="G947" s="430"/>
      <c r="H947" s="430"/>
    </row>
    <row r="948" spans="1:8" ht="24.75" customHeight="1">
      <c r="A948" s="239" t="str">
        <f>A917</f>
        <v>單  價  分  析  表</v>
      </c>
      <c r="B948" s="430"/>
      <c r="C948" s="430"/>
      <c r="D948" s="430"/>
      <c r="E948" s="430"/>
      <c r="F948" s="430"/>
      <c r="G948" s="430"/>
      <c r="H948" s="430"/>
    </row>
    <row r="949" spans="1:8" ht="24.75" customHeight="1">
      <c r="A949" s="1510" t="str">
        <f>A918</f>
        <v>工程名稱:基隆河整體治理計劃（前期計劃）瑞芳區塊介壽橋下游左右岸護岸工程</v>
      </c>
      <c r="B949" s="1510"/>
      <c r="C949" s="1510"/>
      <c r="D949" s="1510"/>
      <c r="E949" s="1510"/>
      <c r="F949" s="1510"/>
      <c r="G949" s="1510"/>
      <c r="H949" s="253" t="s">
        <v>1065</v>
      </c>
    </row>
    <row r="950" spans="1:8" ht="24.75" customHeight="1" thickBot="1">
      <c r="A950" s="1545" t="str">
        <f>A919</f>
        <v>施工地點：台北縣瑞芳鎮</v>
      </c>
      <c r="B950" s="1545"/>
      <c r="C950" s="1545"/>
      <c r="D950" s="1545"/>
      <c r="E950" s="431"/>
      <c r="F950" s="431"/>
      <c r="G950" s="1546" t="s">
        <v>1</v>
      </c>
      <c r="H950" s="1546"/>
    </row>
    <row r="951" spans="1:8" ht="24.75" customHeight="1">
      <c r="A951" s="341" t="s">
        <v>565</v>
      </c>
      <c r="B951" s="342">
        <v>61</v>
      </c>
      <c r="C951" s="624" t="s">
        <v>1479</v>
      </c>
      <c r="D951" s="1556" t="s">
        <v>1486</v>
      </c>
      <c r="E951" s="1570"/>
      <c r="F951" s="1571"/>
      <c r="G951" s="52" t="s">
        <v>1480</v>
      </c>
      <c r="H951" s="934" t="s">
        <v>222</v>
      </c>
    </row>
    <row r="952" spans="1:8" ht="24.75" customHeight="1">
      <c r="A952" s="1536" t="s">
        <v>1469</v>
      </c>
      <c r="B952" s="1562"/>
      <c r="C952" s="888" t="s">
        <v>469</v>
      </c>
      <c r="D952" s="888" t="s">
        <v>470</v>
      </c>
      <c r="E952" s="897" t="s">
        <v>471</v>
      </c>
      <c r="F952" s="897" t="s">
        <v>472</v>
      </c>
      <c r="G952" s="897" t="s">
        <v>1470</v>
      </c>
      <c r="H952" s="898" t="s">
        <v>1471</v>
      </c>
    </row>
    <row r="953" spans="1:8" ht="24.75" customHeight="1">
      <c r="A953" s="1634" t="str">
        <f>D871</f>
        <v>沃土回填</v>
      </c>
      <c r="B953" s="1635"/>
      <c r="C953" s="1412"/>
      <c r="D953" s="366" t="str">
        <f>H871</f>
        <v>m3</v>
      </c>
      <c r="E953" s="919">
        <v>0.15</v>
      </c>
      <c r="F953" s="1413">
        <f>G882</f>
        <v>460</v>
      </c>
      <c r="G953" s="919">
        <f>E953*F953</f>
        <v>69</v>
      </c>
      <c r="H953" s="41" t="s">
        <v>54</v>
      </c>
    </row>
    <row r="954" spans="1:8" ht="24.75" customHeight="1">
      <c r="A954" s="1634" t="str">
        <f>D889</f>
        <v>紫花馬櫻丹</v>
      </c>
      <c r="B954" s="1635"/>
      <c r="C954" s="1007"/>
      <c r="D954" s="40" t="str">
        <f>H889</f>
        <v>株</v>
      </c>
      <c r="E954" s="919">
        <v>1</v>
      </c>
      <c r="F954" s="1413">
        <f>G900</f>
        <v>55</v>
      </c>
      <c r="G954" s="919">
        <f>E954*F954</f>
        <v>55</v>
      </c>
      <c r="H954" s="41" t="s">
        <v>55</v>
      </c>
    </row>
    <row r="955" spans="1:8" ht="24.75" customHeight="1">
      <c r="A955" s="1634" t="str">
        <f>D901</f>
        <v>馬鞍藤</v>
      </c>
      <c r="B955" s="1635"/>
      <c r="C955" s="1414"/>
      <c r="D955" s="366" t="str">
        <f>H901</f>
        <v>株</v>
      </c>
      <c r="E955" s="919">
        <v>1</v>
      </c>
      <c r="F955" s="1413">
        <f>G913</f>
        <v>60</v>
      </c>
      <c r="G955" s="919">
        <f>E955*F955</f>
        <v>60</v>
      </c>
      <c r="H955" s="41" t="s">
        <v>56</v>
      </c>
    </row>
    <row r="956" spans="1:8" ht="24.75" customHeight="1">
      <c r="A956" s="1638" t="str">
        <f>D920</f>
        <v>蟛蜞菊</v>
      </c>
      <c r="B956" s="1639"/>
      <c r="C956" s="369"/>
      <c r="D956" s="362" t="str">
        <f>H920</f>
        <v>株</v>
      </c>
      <c r="E956" s="370">
        <v>1</v>
      </c>
      <c r="F956" s="368">
        <f>G931</f>
        <v>40</v>
      </c>
      <c r="G956" s="919">
        <f>E956*F956</f>
        <v>40</v>
      </c>
      <c r="H956" s="41" t="s">
        <v>57</v>
      </c>
    </row>
    <row r="957" spans="1:8" ht="24.75" customHeight="1">
      <c r="A957" s="1636" t="str">
        <f>D932</f>
        <v>百慕達草皮</v>
      </c>
      <c r="B957" s="1637"/>
      <c r="C957" s="1417"/>
      <c r="D957" s="40" t="str">
        <f>H932</f>
        <v>m2</v>
      </c>
      <c r="E957" s="48">
        <v>0.8</v>
      </c>
      <c r="F957" s="368">
        <f>G944</f>
        <v>210</v>
      </c>
      <c r="G957" s="919">
        <f>E957*F957</f>
        <v>168</v>
      </c>
      <c r="H957" s="41" t="s">
        <v>53</v>
      </c>
    </row>
    <row r="958" spans="1:8" ht="24.75" customHeight="1">
      <c r="A958" s="1636" t="s">
        <v>825</v>
      </c>
      <c r="B958" s="1637"/>
      <c r="C958" s="1417"/>
      <c r="D958" s="40" t="s">
        <v>414</v>
      </c>
      <c r="E958" s="48">
        <v>1</v>
      </c>
      <c r="F958" s="48" t="s">
        <v>1202</v>
      </c>
      <c r="G958" s="48">
        <v>8</v>
      </c>
      <c r="H958" s="46"/>
    </row>
    <row r="959" spans="1:8" ht="24.75" customHeight="1">
      <c r="A959" s="1636" t="s">
        <v>705</v>
      </c>
      <c r="B959" s="1637"/>
      <c r="C959" s="1417"/>
      <c r="D959" s="40"/>
      <c r="E959" s="48"/>
      <c r="F959" s="48"/>
      <c r="G959" s="48">
        <f>SUM(G953:G958)</f>
        <v>400</v>
      </c>
      <c r="H959" s="46"/>
    </row>
    <row r="960" spans="1:8" ht="24.75" customHeight="1">
      <c r="A960" s="886"/>
      <c r="B960" s="887"/>
      <c r="C960" s="1417"/>
      <c r="D960" s="40"/>
      <c r="E960" s="1008"/>
      <c r="F960" s="48"/>
      <c r="G960" s="48"/>
      <c r="H960" s="46"/>
    </row>
    <row r="961" spans="1:8" ht="24.75" customHeight="1">
      <c r="A961" s="1415"/>
      <c r="B961" s="1416"/>
      <c r="C961" s="325"/>
      <c r="D961" s="1418"/>
      <c r="E961" s="1419"/>
      <c r="F961" s="1420"/>
      <c r="G961" s="48"/>
      <c r="H961" s="207"/>
    </row>
    <row r="962" spans="1:8" ht="24.75" customHeight="1" thickBot="1">
      <c r="A962" s="575"/>
      <c r="B962" s="576"/>
      <c r="C962" s="576"/>
      <c r="D962" s="594" t="s">
        <v>601</v>
      </c>
      <c r="E962" s="596" t="s">
        <v>37</v>
      </c>
      <c r="F962" s="595" t="s">
        <v>438</v>
      </c>
      <c r="G962" s="354">
        <f>G959</f>
        <v>400</v>
      </c>
      <c r="H962" s="1009"/>
    </row>
    <row r="963" spans="1:8" ht="24.75" customHeight="1">
      <c r="A963" s="50" t="s">
        <v>436</v>
      </c>
      <c r="B963" s="1421">
        <v>62</v>
      </c>
      <c r="C963" s="1433" t="s">
        <v>442</v>
      </c>
      <c r="D963" s="221" t="s">
        <v>38</v>
      </c>
      <c r="E963" s="221"/>
      <c r="F963" s="221"/>
      <c r="G963" s="38" t="s">
        <v>468</v>
      </c>
      <c r="H963" s="934" t="s">
        <v>1468</v>
      </c>
    </row>
    <row r="964" spans="1:8" ht="24.75" customHeight="1">
      <c r="A964" s="1434" t="s">
        <v>559</v>
      </c>
      <c r="B964" s="1435"/>
      <c r="C964" s="1436" t="s">
        <v>469</v>
      </c>
      <c r="D964" s="1436" t="s">
        <v>470</v>
      </c>
      <c r="E964" s="1029" t="s">
        <v>471</v>
      </c>
      <c r="F964" s="1029" t="s">
        <v>472</v>
      </c>
      <c r="G964" s="1029" t="s">
        <v>473</v>
      </c>
      <c r="H964" s="1056" t="s">
        <v>474</v>
      </c>
    </row>
    <row r="965" spans="1:8" ht="24.75" customHeight="1">
      <c r="A965" s="1636" t="s">
        <v>1487</v>
      </c>
      <c r="B965" s="1637"/>
      <c r="C965" s="955" t="s">
        <v>44</v>
      </c>
      <c r="D965" s="38" t="s">
        <v>1488</v>
      </c>
      <c r="E965" s="346">
        <v>1</v>
      </c>
      <c r="F965" s="330">
        <v>1500</v>
      </c>
      <c r="G965" s="330">
        <f>E965*F965</f>
        <v>1500</v>
      </c>
      <c r="H965" s="1437"/>
    </row>
    <row r="966" spans="1:8" ht="24.75" customHeight="1">
      <c r="A966" s="1636" t="s">
        <v>1489</v>
      </c>
      <c r="B966" s="1637"/>
      <c r="C966" s="1417" t="s">
        <v>1490</v>
      </c>
      <c r="D966" s="40" t="s">
        <v>414</v>
      </c>
      <c r="E966" s="330">
        <v>1</v>
      </c>
      <c r="F966" s="330" t="s">
        <v>475</v>
      </c>
      <c r="G966" s="330">
        <v>1000</v>
      </c>
      <c r="H966" s="46"/>
    </row>
    <row r="967" spans="1:8" ht="24.75" customHeight="1">
      <c r="A967" s="1636" t="s">
        <v>825</v>
      </c>
      <c r="B967" s="1637"/>
      <c r="C967" s="349"/>
      <c r="D967" s="40"/>
      <c r="E967" s="346">
        <v>1</v>
      </c>
      <c r="F967" s="330" t="s">
        <v>475</v>
      </c>
      <c r="G967" s="330">
        <v>100</v>
      </c>
      <c r="H967" s="46"/>
    </row>
    <row r="968" spans="1:8" ht="24.75" customHeight="1">
      <c r="A968" s="1636" t="s">
        <v>705</v>
      </c>
      <c r="B968" s="1637"/>
      <c r="C968" s="351"/>
      <c r="D968" s="40"/>
      <c r="E968" s="330"/>
      <c r="F968" s="330"/>
      <c r="G968" s="330">
        <f>SUM(G965:G967)</f>
        <v>2600</v>
      </c>
      <c r="H968" s="46"/>
    </row>
    <row r="969" spans="1:8" ht="24.75" customHeight="1">
      <c r="A969" s="1020"/>
      <c r="B969" s="333"/>
      <c r="C969" s="351"/>
      <c r="D969" s="40"/>
      <c r="E969" s="330"/>
      <c r="F969" s="330"/>
      <c r="G969" s="330"/>
      <c r="H969" s="46"/>
    </row>
    <row r="970" spans="1:8" ht="24.75" customHeight="1">
      <c r="A970" s="328"/>
      <c r="B970" s="333"/>
      <c r="C970" s="351"/>
      <c r="D970" s="40"/>
      <c r="E970" s="331"/>
      <c r="F970" s="330"/>
      <c r="G970" s="330"/>
      <c r="H970" s="47"/>
    </row>
    <row r="971" spans="1:8" ht="24.75" customHeight="1">
      <c r="A971" s="328"/>
      <c r="B971" s="333"/>
      <c r="C971" s="351"/>
      <c r="D971" s="40"/>
      <c r="E971" s="331"/>
      <c r="F971" s="330"/>
      <c r="G971" s="330"/>
      <c r="H971" s="47"/>
    </row>
    <row r="972" spans="1:8" ht="24.75" customHeight="1">
      <c r="A972" s="328"/>
      <c r="B972" s="333"/>
      <c r="C972" s="351"/>
      <c r="D972" s="40"/>
      <c r="E972" s="330"/>
      <c r="F972" s="330"/>
      <c r="G972" s="330"/>
      <c r="H972" s="334"/>
    </row>
    <row r="973" spans="1:8" ht="24.75" customHeight="1">
      <c r="A973" s="328"/>
      <c r="B973" s="333"/>
      <c r="C973" s="351"/>
      <c r="D973" s="40"/>
      <c r="E973" s="330"/>
      <c r="F973" s="330"/>
      <c r="G973" s="330"/>
      <c r="H973" s="334"/>
    </row>
    <row r="974" spans="1:8" ht="24.75" customHeight="1">
      <c r="A974" s="327"/>
      <c r="B974" s="333"/>
      <c r="C974" s="335"/>
      <c r="D974" s="50"/>
      <c r="E974" s="336"/>
      <c r="F974" s="336"/>
      <c r="G974" s="336"/>
      <c r="H974" s="334"/>
    </row>
    <row r="975" spans="1:8" ht="24.75" customHeight="1" thickBot="1">
      <c r="A975" s="337"/>
      <c r="B975" s="988"/>
      <c r="C975" s="988"/>
      <c r="D975" s="353" t="s">
        <v>476</v>
      </c>
      <c r="E975" s="1439" t="s">
        <v>1478</v>
      </c>
      <c r="F975" s="339" t="s">
        <v>438</v>
      </c>
      <c r="G975" s="354">
        <f>G968</f>
        <v>2600</v>
      </c>
      <c r="H975" s="1438"/>
    </row>
    <row r="976" spans="1:8" ht="24.75" customHeight="1">
      <c r="A976" s="1191"/>
      <c r="B976" s="1191"/>
      <c r="C976" s="1191"/>
      <c r="D976" s="1429"/>
      <c r="E976" s="1429"/>
      <c r="F976" s="1430"/>
      <c r="G976" s="1193"/>
      <c r="H976" s="1431"/>
    </row>
    <row r="977" spans="1:8" ht="24.75" customHeight="1">
      <c r="A977" s="29" t="s">
        <v>457</v>
      </c>
      <c r="B977" s="29"/>
      <c r="C977" s="29"/>
      <c r="D977" s="29"/>
      <c r="E977" s="29" t="s">
        <v>458</v>
      </c>
      <c r="F977" s="29"/>
      <c r="G977" s="29"/>
      <c r="H977" s="29"/>
    </row>
    <row r="978" spans="1:8" ht="24.75" customHeight="1">
      <c r="A978" s="238" t="str">
        <f>A947</f>
        <v>經濟部水利署第十河川局</v>
      </c>
      <c r="B978" s="430"/>
      <c r="C978" s="430"/>
      <c r="D978" s="430"/>
      <c r="E978" s="430"/>
      <c r="F978" s="430"/>
      <c r="G978" s="430"/>
      <c r="H978" s="430"/>
    </row>
    <row r="979" spans="1:8" ht="24.75" customHeight="1">
      <c r="A979" s="239" t="str">
        <f>A948</f>
        <v>單  價  分  析  表</v>
      </c>
      <c r="B979" s="430"/>
      <c r="C979" s="430"/>
      <c r="D979" s="430"/>
      <c r="E979" s="430"/>
      <c r="F979" s="430"/>
      <c r="G979" s="430"/>
      <c r="H979" s="430"/>
    </row>
    <row r="980" spans="1:8" ht="24.75" customHeight="1">
      <c r="A980" s="1510" t="str">
        <f>A949</f>
        <v>工程名稱:基隆河整體治理計劃（前期計劃）瑞芳區塊介壽橋下游左右岸護岸工程</v>
      </c>
      <c r="B980" s="1510"/>
      <c r="C980" s="1510"/>
      <c r="D980" s="1510"/>
      <c r="E980" s="1510"/>
      <c r="F980" s="1510"/>
      <c r="G980" s="1510"/>
      <c r="H980" s="253" t="s">
        <v>1065</v>
      </c>
    </row>
    <row r="981" spans="1:8" ht="24.75" customHeight="1" thickBot="1">
      <c r="A981" s="1545" t="str">
        <f>A950</f>
        <v>施工地點：台北縣瑞芳鎮</v>
      </c>
      <c r="B981" s="1545"/>
      <c r="C981" s="1545"/>
      <c r="D981" s="1545"/>
      <c r="E981" s="431"/>
      <c r="F981" s="431"/>
      <c r="G981" s="1546" t="s">
        <v>0</v>
      </c>
      <c r="H981" s="1546"/>
    </row>
    <row r="982" spans="1:8" ht="24.75" customHeight="1">
      <c r="A982" s="341" t="s">
        <v>436</v>
      </c>
      <c r="B982" s="342">
        <v>63</v>
      </c>
      <c r="C982" s="1292" t="s">
        <v>442</v>
      </c>
      <c r="D982" s="1556" t="s">
        <v>51</v>
      </c>
      <c r="E982" s="1570"/>
      <c r="F982" s="1571"/>
      <c r="G982" s="52" t="s">
        <v>468</v>
      </c>
      <c r="H982" s="934" t="s">
        <v>50</v>
      </c>
    </row>
    <row r="983" spans="1:8" ht="24.75" customHeight="1">
      <c r="A983" s="220" t="s">
        <v>559</v>
      </c>
      <c r="B983" s="221"/>
      <c r="C983" s="50" t="s">
        <v>469</v>
      </c>
      <c r="D983" s="50" t="s">
        <v>470</v>
      </c>
      <c r="E983" s="38" t="s">
        <v>471</v>
      </c>
      <c r="F983" s="38" t="s">
        <v>472</v>
      </c>
      <c r="G983" s="38" t="s">
        <v>473</v>
      </c>
      <c r="H983" s="51" t="s">
        <v>474</v>
      </c>
    </row>
    <row r="984" spans="1:8" ht="24.75" customHeight="1">
      <c r="A984" s="1636" t="s">
        <v>51</v>
      </c>
      <c r="B984" s="1637"/>
      <c r="C984" s="329" t="s">
        <v>69</v>
      </c>
      <c r="D984" s="40" t="s">
        <v>884</v>
      </c>
      <c r="E984" s="346">
        <v>1</v>
      </c>
      <c r="F984" s="330">
        <v>500</v>
      </c>
      <c r="G984" s="330">
        <f aca="true" t="shared" si="8" ref="G984:G989">E984*F984</f>
        <v>500</v>
      </c>
      <c r="H984" s="207"/>
    </row>
    <row r="985" spans="1:8" ht="24.75" customHeight="1">
      <c r="A985" s="1636" t="s">
        <v>45</v>
      </c>
      <c r="B985" s="1637"/>
      <c r="C985" s="329"/>
      <c r="D985" s="40" t="s">
        <v>36</v>
      </c>
      <c r="E985" s="346">
        <v>0.01</v>
      </c>
      <c r="F985" s="330">
        <f>G46</f>
        <v>2450</v>
      </c>
      <c r="G985" s="330">
        <f t="shared" si="8"/>
        <v>24.5</v>
      </c>
      <c r="H985" s="41" t="s">
        <v>52</v>
      </c>
    </row>
    <row r="986" spans="1:8" ht="24.75" customHeight="1">
      <c r="A986" s="1636" t="s">
        <v>46</v>
      </c>
      <c r="B986" s="1637"/>
      <c r="C986" s="347"/>
      <c r="D986" s="40" t="s">
        <v>884</v>
      </c>
      <c r="E986" s="346">
        <v>1</v>
      </c>
      <c r="F986" s="331">
        <v>5</v>
      </c>
      <c r="G986" s="330">
        <f t="shared" si="8"/>
        <v>5</v>
      </c>
      <c r="H986" s="46"/>
    </row>
    <row r="987" spans="1:8" ht="24.75" customHeight="1">
      <c r="A987" s="1636" t="s">
        <v>47</v>
      </c>
      <c r="B987" s="1637"/>
      <c r="C987" s="347"/>
      <c r="D987" s="40" t="s">
        <v>58</v>
      </c>
      <c r="E987" s="346">
        <v>0.15</v>
      </c>
      <c r="F987" s="330">
        <v>900</v>
      </c>
      <c r="G987" s="330">
        <f t="shared" si="8"/>
        <v>135</v>
      </c>
      <c r="H987" s="46"/>
    </row>
    <row r="988" spans="1:8" ht="24.75" customHeight="1">
      <c r="A988" s="1636" t="s">
        <v>1081</v>
      </c>
      <c r="B988" s="1637"/>
      <c r="C988" s="347"/>
      <c r="D988" s="40" t="s">
        <v>58</v>
      </c>
      <c r="E988" s="346">
        <v>0.15</v>
      </c>
      <c r="F988" s="330">
        <v>700</v>
      </c>
      <c r="G988" s="330">
        <f t="shared" si="8"/>
        <v>105</v>
      </c>
      <c r="H988" s="46"/>
    </row>
    <row r="989" spans="1:8" ht="24.75" customHeight="1">
      <c r="A989" s="1636" t="s">
        <v>48</v>
      </c>
      <c r="B989" s="1637"/>
      <c r="C989" s="349"/>
      <c r="D989" s="40" t="s">
        <v>49</v>
      </c>
      <c r="E989" s="346">
        <v>1</v>
      </c>
      <c r="F989" s="330">
        <v>20.5</v>
      </c>
      <c r="G989" s="330">
        <f t="shared" si="8"/>
        <v>20.5</v>
      </c>
      <c r="H989" s="46"/>
    </row>
    <row r="990" spans="1:8" ht="24.75" customHeight="1">
      <c r="A990" s="1636" t="s">
        <v>1039</v>
      </c>
      <c r="B990" s="1637"/>
      <c r="C990" s="351"/>
      <c r="D990" s="40"/>
      <c r="E990" s="989"/>
      <c r="F990" s="330"/>
      <c r="G990" s="330">
        <f>SUM(G984:G989)</f>
        <v>790</v>
      </c>
      <c r="H990" s="46"/>
    </row>
    <row r="991" spans="1:8" ht="24.75" customHeight="1">
      <c r="A991" s="427"/>
      <c r="B991" s="1440"/>
      <c r="C991" s="351"/>
      <c r="D991" s="40"/>
      <c r="E991" s="331"/>
      <c r="F991" s="330"/>
      <c r="G991" s="330"/>
      <c r="H991" s="47"/>
    </row>
    <row r="992" spans="1:8" ht="24.75" customHeight="1">
      <c r="A992" s="427"/>
      <c r="B992" s="1440"/>
      <c r="C992" s="351"/>
      <c r="D992" s="40"/>
      <c r="E992" s="331"/>
      <c r="F992" s="330"/>
      <c r="G992" s="330"/>
      <c r="H992" s="47"/>
    </row>
    <row r="993" spans="1:8" ht="24.75" customHeight="1">
      <c r="A993" s="328"/>
      <c r="B993" s="357"/>
      <c r="C993" s="335"/>
      <c r="D993" s="40"/>
      <c r="E993" s="48"/>
      <c r="F993" s="330"/>
      <c r="G993" s="48"/>
      <c r="H993" s="334"/>
    </row>
    <row r="994" spans="1:8" ht="24.75" customHeight="1">
      <c r="A994" s="1441"/>
      <c r="B994" s="1442"/>
      <c r="C994" s="1443"/>
      <c r="D994" s="1444"/>
      <c r="E994" s="1445"/>
      <c r="F994" s="1445"/>
      <c r="G994" s="1445"/>
      <c r="H994" s="1446"/>
    </row>
    <row r="995" spans="1:8" ht="24.75" customHeight="1" thickBot="1">
      <c r="A995" s="1640"/>
      <c r="B995" s="1641"/>
      <c r="C995" s="1641"/>
      <c r="D995" s="353" t="s">
        <v>476</v>
      </c>
      <c r="E995" s="440" t="s">
        <v>59</v>
      </c>
      <c r="F995" s="956" t="s">
        <v>438</v>
      </c>
      <c r="G995" s="1447">
        <f>G990</f>
        <v>790</v>
      </c>
      <c r="H995" s="340"/>
    </row>
    <row r="996" spans="1:8" ht="24.75" customHeight="1">
      <c r="A996" s="1237"/>
      <c r="B996" s="1231"/>
      <c r="C996" s="1422"/>
      <c r="D996" s="426"/>
      <c r="E996" s="1423"/>
      <c r="F996" s="767"/>
      <c r="G996" s="767"/>
      <c r="H996" s="1424"/>
    </row>
    <row r="997" spans="1:8" ht="24.75" customHeight="1">
      <c r="A997" s="1230"/>
      <c r="B997" s="1231"/>
      <c r="C997" s="1425"/>
      <c r="D997" s="533"/>
      <c r="E997" s="767"/>
      <c r="F997" s="767"/>
      <c r="G997" s="767"/>
      <c r="H997" s="527"/>
    </row>
    <row r="998" spans="1:8" ht="24.75" customHeight="1">
      <c r="A998" s="532"/>
      <c r="B998" s="1011"/>
      <c r="C998" s="1233"/>
      <c r="D998" s="533"/>
      <c r="E998" s="1423"/>
      <c r="F998" s="767"/>
      <c r="G998" s="767"/>
      <c r="H998" s="1232"/>
    </row>
    <row r="999" spans="1:8" ht="24.75" customHeight="1">
      <c r="A999" s="1426"/>
      <c r="B999" s="39"/>
      <c r="C999" s="1012"/>
      <c r="D999" s="533"/>
      <c r="E999" s="767"/>
      <c r="F999" s="767"/>
      <c r="G999" s="767"/>
      <c r="H999" s="1232"/>
    </row>
    <row r="1000" spans="1:8" ht="24.75" customHeight="1">
      <c r="A1000" s="1426"/>
      <c r="B1000" s="39"/>
      <c r="C1000" s="1012"/>
      <c r="D1000" s="533"/>
      <c r="E1000" s="767"/>
      <c r="F1000" s="767"/>
      <c r="G1000" s="767"/>
      <c r="H1000" s="1232"/>
    </row>
    <row r="1001" spans="1:8" ht="24.75" customHeight="1">
      <c r="A1001" s="532"/>
      <c r="B1001" s="39"/>
      <c r="C1001" s="1012"/>
      <c r="D1001" s="533"/>
      <c r="E1001" s="1229"/>
      <c r="F1001" s="767"/>
      <c r="G1001" s="767"/>
      <c r="H1001" s="1427"/>
    </row>
    <row r="1002" spans="1:8" ht="24.75" customHeight="1">
      <c r="A1002" s="532"/>
      <c r="B1002" s="39"/>
      <c r="C1002" s="1012"/>
      <c r="D1002" s="533"/>
      <c r="E1002" s="1229"/>
      <c r="F1002" s="767"/>
      <c r="G1002" s="767"/>
      <c r="H1002" s="1427"/>
    </row>
    <row r="1003" spans="1:8" ht="24.75" customHeight="1">
      <c r="A1003" s="532"/>
      <c r="B1003" s="39"/>
      <c r="C1003" s="1012"/>
      <c r="D1003" s="533"/>
      <c r="E1003" s="767"/>
      <c r="F1003" s="767"/>
      <c r="G1003" s="767"/>
      <c r="H1003" s="1236"/>
    </row>
    <row r="1004" spans="1:8" ht="24.75" customHeight="1">
      <c r="A1004" s="532"/>
      <c r="B1004" s="39"/>
      <c r="C1004" s="1012"/>
      <c r="D1004" s="533"/>
      <c r="E1004" s="767"/>
      <c r="F1004" s="767"/>
      <c r="G1004" s="767"/>
      <c r="H1004" s="1236"/>
    </row>
    <row r="1005" spans="1:8" ht="24.75" customHeight="1">
      <c r="A1005" s="1014"/>
      <c r="B1005" s="39"/>
      <c r="C1005" s="1013"/>
      <c r="D1005" s="1010"/>
      <c r="E1005" s="1015"/>
      <c r="F1005" s="1015"/>
      <c r="G1005" s="1015"/>
      <c r="H1005" s="535"/>
    </row>
    <row r="1006" spans="1:8" ht="24.75" customHeight="1" thickBot="1">
      <c r="A1006" s="1238"/>
      <c r="B1006" s="1459"/>
      <c r="C1006" s="1448"/>
      <c r="D1006" s="1449"/>
      <c r="E1006" s="1449"/>
      <c r="F1006" s="1450"/>
      <c r="G1006" s="1428"/>
      <c r="H1006" s="1251"/>
    </row>
    <row r="1007" spans="1:8" ht="24.75" customHeight="1">
      <c r="A1007" s="1191"/>
      <c r="B1007" s="1191"/>
      <c r="C1007" s="1191"/>
      <c r="D1007" s="1192"/>
      <c r="E1007" s="1193"/>
      <c r="F1007" s="1193"/>
      <c r="G1007" s="1193"/>
      <c r="H1007" s="1431"/>
    </row>
    <row r="1008" spans="1:8" ht="24.75" customHeight="1">
      <c r="A1008" s="29" t="s">
        <v>457</v>
      </c>
      <c r="B1008" s="29"/>
      <c r="C1008" s="29"/>
      <c r="D1008" s="29"/>
      <c r="E1008" s="29" t="s">
        <v>458</v>
      </c>
      <c r="F1008" s="29"/>
      <c r="G1008" s="29"/>
      <c r="H1008" s="29"/>
    </row>
    <row r="1009" spans="1:8" ht="24.75" customHeight="1">
      <c r="A1009" s="29"/>
      <c r="B1009" s="29"/>
      <c r="C1009" s="29"/>
      <c r="D1009" s="29"/>
      <c r="E1009" s="29"/>
      <c r="F1009" s="29"/>
      <c r="G1009" s="29"/>
      <c r="H1009" s="29"/>
    </row>
    <row r="1010" spans="1:8" ht="24.75" customHeight="1">
      <c r="A1010" s="1191"/>
      <c r="B1010" s="1191"/>
      <c r="C1010" s="1191"/>
      <c r="D1010" s="1429"/>
      <c r="E1010" s="1429"/>
      <c r="F1010" s="1430"/>
      <c r="G1010" s="1193"/>
      <c r="H1010" s="1431"/>
    </row>
    <row r="1011" spans="1:8" ht="24.75" customHeight="1">
      <c r="A1011" s="1191"/>
      <c r="B1011" s="1191"/>
      <c r="C1011" s="1191"/>
      <c r="D1011" s="1429"/>
      <c r="E1011" s="1429"/>
      <c r="F1011" s="1430"/>
      <c r="G1011" s="1193"/>
      <c r="H1011" s="1431"/>
    </row>
    <row r="1012" spans="1:8" ht="24.75" customHeight="1">
      <c r="A1012" s="1191"/>
      <c r="B1012" s="1191"/>
      <c r="C1012" s="1191"/>
      <c r="D1012" s="1429"/>
      <c r="E1012" s="1429"/>
      <c r="F1012" s="1430"/>
      <c r="G1012" s="1193"/>
      <c r="H1012" s="1431"/>
    </row>
  </sheetData>
  <mergeCells count="626">
    <mergeCell ref="A988:B988"/>
    <mergeCell ref="A989:B989"/>
    <mergeCell ref="A967:B967"/>
    <mergeCell ref="A965:B965"/>
    <mergeCell ref="A966:B966"/>
    <mergeCell ref="A968:B968"/>
    <mergeCell ref="A984:B984"/>
    <mergeCell ref="A985:B985"/>
    <mergeCell ref="A986:B986"/>
    <mergeCell ref="A987:B987"/>
    <mergeCell ref="A955:B955"/>
    <mergeCell ref="A956:B956"/>
    <mergeCell ref="A995:C995"/>
    <mergeCell ref="A990:B990"/>
    <mergeCell ref="A957:B957"/>
    <mergeCell ref="A958:B958"/>
    <mergeCell ref="A980:G980"/>
    <mergeCell ref="A981:D981"/>
    <mergeCell ref="G981:H981"/>
    <mergeCell ref="A959:B959"/>
    <mergeCell ref="D951:F951"/>
    <mergeCell ref="A952:B952"/>
    <mergeCell ref="A953:B953"/>
    <mergeCell ref="A954:B954"/>
    <mergeCell ref="A938:B938"/>
    <mergeCell ref="A939:B939"/>
    <mergeCell ref="A949:G949"/>
    <mergeCell ref="A950:D950"/>
    <mergeCell ref="G950:H950"/>
    <mergeCell ref="A934:B934"/>
    <mergeCell ref="A935:B935"/>
    <mergeCell ref="A936:B936"/>
    <mergeCell ref="A937:B937"/>
    <mergeCell ref="A926:B926"/>
    <mergeCell ref="A927:B927"/>
    <mergeCell ref="D932:F932"/>
    <mergeCell ref="A933:B933"/>
    <mergeCell ref="A922:B922"/>
    <mergeCell ref="A923:B923"/>
    <mergeCell ref="A924:B924"/>
    <mergeCell ref="A925:B925"/>
    <mergeCell ref="A919:D919"/>
    <mergeCell ref="G919:H919"/>
    <mergeCell ref="D920:F920"/>
    <mergeCell ref="A921:B921"/>
    <mergeCell ref="A904:B904"/>
    <mergeCell ref="A905:B905"/>
    <mergeCell ref="A906:B906"/>
    <mergeCell ref="A918:G918"/>
    <mergeCell ref="A895:B895"/>
    <mergeCell ref="A896:B896"/>
    <mergeCell ref="A902:B902"/>
    <mergeCell ref="A903:B903"/>
    <mergeCell ref="A893:B893"/>
    <mergeCell ref="D901:F901"/>
    <mergeCell ref="D982:F982"/>
    <mergeCell ref="D889:F889"/>
    <mergeCell ref="A890:B890"/>
    <mergeCell ref="A891:B891"/>
    <mergeCell ref="A892:B892"/>
    <mergeCell ref="A907:B907"/>
    <mergeCell ref="A908:B908"/>
    <mergeCell ref="A894:B894"/>
    <mergeCell ref="D871:F871"/>
    <mergeCell ref="A887:G887"/>
    <mergeCell ref="A888:D888"/>
    <mergeCell ref="G888:H888"/>
    <mergeCell ref="A875:B875"/>
    <mergeCell ref="A876:B876"/>
    <mergeCell ref="A877:B877"/>
    <mergeCell ref="A878:B878"/>
    <mergeCell ref="A869:B869"/>
    <mergeCell ref="A872:B872"/>
    <mergeCell ref="A873:B873"/>
    <mergeCell ref="A874:B874"/>
    <mergeCell ref="A870:C870"/>
    <mergeCell ref="A830:B830"/>
    <mergeCell ref="A831:B831"/>
    <mergeCell ref="A838:B838"/>
    <mergeCell ref="A825:G825"/>
    <mergeCell ref="A826:D826"/>
    <mergeCell ref="G826:H826"/>
    <mergeCell ref="D827:F827"/>
    <mergeCell ref="G857:H857"/>
    <mergeCell ref="A811:B811"/>
    <mergeCell ref="A812:B812"/>
    <mergeCell ref="A841:B841"/>
    <mergeCell ref="A856:G856"/>
    <mergeCell ref="A842:B842"/>
    <mergeCell ref="A843:B843"/>
    <mergeCell ref="A844:B844"/>
    <mergeCell ref="A845:B845"/>
    <mergeCell ref="A846:B846"/>
    <mergeCell ref="A704:B704"/>
    <mergeCell ref="A711:B711"/>
    <mergeCell ref="A712:B712"/>
    <mergeCell ref="A724:B724"/>
    <mergeCell ref="A722:B722"/>
    <mergeCell ref="A723:B723"/>
    <mergeCell ref="A709:B709"/>
    <mergeCell ref="A710:B710"/>
    <mergeCell ref="A714:B714"/>
    <mergeCell ref="A807:B807"/>
    <mergeCell ref="D858:F858"/>
    <mergeCell ref="A813:B813"/>
    <mergeCell ref="A819:B819"/>
    <mergeCell ref="A857:D857"/>
    <mergeCell ref="D809:F809"/>
    <mergeCell ref="A851:C851"/>
    <mergeCell ref="A847:B847"/>
    <mergeCell ref="A850:B850"/>
    <mergeCell ref="A829:B829"/>
    <mergeCell ref="A862:B862"/>
    <mergeCell ref="A798:B798"/>
    <mergeCell ref="A799:B799"/>
    <mergeCell ref="A800:B800"/>
    <mergeCell ref="A801:B801"/>
    <mergeCell ref="A859:B859"/>
    <mergeCell ref="A860:B860"/>
    <mergeCell ref="A861:B861"/>
    <mergeCell ref="A802:B802"/>
    <mergeCell ref="A803:B803"/>
    <mergeCell ref="A794:G794"/>
    <mergeCell ref="A795:D795"/>
    <mergeCell ref="G795:H795"/>
    <mergeCell ref="D796:F796"/>
    <mergeCell ref="A783:B783"/>
    <mergeCell ref="A784:B784"/>
    <mergeCell ref="A785:B785"/>
    <mergeCell ref="A788:B788"/>
    <mergeCell ref="A787:B787"/>
    <mergeCell ref="A786:B786"/>
    <mergeCell ref="D778:F778"/>
    <mergeCell ref="A780:B780"/>
    <mergeCell ref="A781:B781"/>
    <mergeCell ref="A782:B782"/>
    <mergeCell ref="A770:B770"/>
    <mergeCell ref="A771:B771"/>
    <mergeCell ref="A772:B772"/>
    <mergeCell ref="A776:B776"/>
    <mergeCell ref="A773:B773"/>
    <mergeCell ref="D765:F765"/>
    <mergeCell ref="A767:B767"/>
    <mergeCell ref="A768:B768"/>
    <mergeCell ref="A769:B769"/>
    <mergeCell ref="A754:B754"/>
    <mergeCell ref="A757:B757"/>
    <mergeCell ref="A763:G763"/>
    <mergeCell ref="A764:D764"/>
    <mergeCell ref="G764:H764"/>
    <mergeCell ref="A755:B755"/>
    <mergeCell ref="A750:B750"/>
    <mergeCell ref="A751:B751"/>
    <mergeCell ref="A752:B752"/>
    <mergeCell ref="A753:B753"/>
    <mergeCell ref="A741:B741"/>
    <mergeCell ref="A745:B745"/>
    <mergeCell ref="D747:F747"/>
    <mergeCell ref="A749:B749"/>
    <mergeCell ref="A737:B737"/>
    <mergeCell ref="A738:B738"/>
    <mergeCell ref="A739:B739"/>
    <mergeCell ref="A740:B740"/>
    <mergeCell ref="A733:D733"/>
    <mergeCell ref="G733:H733"/>
    <mergeCell ref="D734:F734"/>
    <mergeCell ref="A736:B736"/>
    <mergeCell ref="A726:B726"/>
    <mergeCell ref="A732:G732"/>
    <mergeCell ref="A718:B718"/>
    <mergeCell ref="A719:B719"/>
    <mergeCell ref="A720:B720"/>
    <mergeCell ref="A721:B721"/>
    <mergeCell ref="D716:F716"/>
    <mergeCell ref="A705:B705"/>
    <mergeCell ref="A706:B706"/>
    <mergeCell ref="A707:B707"/>
    <mergeCell ref="A708:B708"/>
    <mergeCell ref="A701:G701"/>
    <mergeCell ref="A702:D702"/>
    <mergeCell ref="G702:H702"/>
    <mergeCell ref="D703:F703"/>
    <mergeCell ref="A692:B692"/>
    <mergeCell ref="A695:B695"/>
    <mergeCell ref="A688:B688"/>
    <mergeCell ref="A689:B689"/>
    <mergeCell ref="A690:B690"/>
    <mergeCell ref="A691:B691"/>
    <mergeCell ref="A677:B677"/>
    <mergeCell ref="A678:B678"/>
    <mergeCell ref="D685:F685"/>
    <mergeCell ref="A687:B687"/>
    <mergeCell ref="A679:B679"/>
    <mergeCell ref="A683:B683"/>
    <mergeCell ref="A674:B674"/>
    <mergeCell ref="A675:B675"/>
    <mergeCell ref="A676:B676"/>
    <mergeCell ref="A670:G670"/>
    <mergeCell ref="A671:D671"/>
    <mergeCell ref="G671:H671"/>
    <mergeCell ref="D672:F672"/>
    <mergeCell ref="A512:G512"/>
    <mergeCell ref="D386:F386"/>
    <mergeCell ref="A365:B365"/>
    <mergeCell ref="A378:E378"/>
    <mergeCell ref="A501:B501"/>
    <mergeCell ref="A499:B499"/>
    <mergeCell ref="A498:B498"/>
    <mergeCell ref="A388:B388"/>
    <mergeCell ref="A366:B366"/>
    <mergeCell ref="A484:B484"/>
    <mergeCell ref="A513:D513"/>
    <mergeCell ref="A525:B525"/>
    <mergeCell ref="A256:G256"/>
    <mergeCell ref="A257:D257"/>
    <mergeCell ref="G257:H257"/>
    <mergeCell ref="A260:B260"/>
    <mergeCell ref="A261:B261"/>
    <mergeCell ref="A263:B263"/>
    <mergeCell ref="A264:B264"/>
    <mergeCell ref="A265:B265"/>
    <mergeCell ref="G513:H513"/>
    <mergeCell ref="A521:B521"/>
    <mergeCell ref="A522:B522"/>
    <mergeCell ref="A496:B496"/>
    <mergeCell ref="A505:B505"/>
    <mergeCell ref="A506:B506"/>
    <mergeCell ref="A515:B515"/>
    <mergeCell ref="A503:B503"/>
    <mergeCell ref="A504:B504"/>
    <mergeCell ref="D514:F514"/>
    <mergeCell ref="A523:B523"/>
    <mergeCell ref="A524:B524"/>
    <mergeCell ref="A517:B517"/>
    <mergeCell ref="A518:B518"/>
    <mergeCell ref="A519:B519"/>
    <mergeCell ref="A520:B520"/>
    <mergeCell ref="D495:F495"/>
    <mergeCell ref="A497:B497"/>
    <mergeCell ref="A359:B359"/>
    <mergeCell ref="A328:B328"/>
    <mergeCell ref="A357:B357"/>
    <mergeCell ref="A358:B358"/>
    <mergeCell ref="D364:F364"/>
    <mergeCell ref="A360:B360"/>
    <mergeCell ref="A361:B361"/>
    <mergeCell ref="A362:B362"/>
    <mergeCell ref="A303:B303"/>
    <mergeCell ref="A304:B304"/>
    <mergeCell ref="A311:B311"/>
    <mergeCell ref="A309:B309"/>
    <mergeCell ref="A310:B310"/>
    <mergeCell ref="A305:B305"/>
    <mergeCell ref="A306:B306"/>
    <mergeCell ref="A307:B307"/>
    <mergeCell ref="A308:B308"/>
    <mergeCell ref="D240:F240"/>
    <mergeCell ref="A249:B249"/>
    <mergeCell ref="A278:B278"/>
    <mergeCell ref="A275:B275"/>
    <mergeCell ref="A262:B262"/>
    <mergeCell ref="A276:B276"/>
    <mergeCell ref="A277:B277"/>
    <mergeCell ref="D270:F270"/>
    <mergeCell ref="A272:B272"/>
    <mergeCell ref="A274:B274"/>
    <mergeCell ref="A149:B149"/>
    <mergeCell ref="A199:B199"/>
    <mergeCell ref="A200:B200"/>
    <mergeCell ref="A201:B201"/>
    <mergeCell ref="A153:B153"/>
    <mergeCell ref="A154:B154"/>
    <mergeCell ref="A155:B155"/>
    <mergeCell ref="A273:B273"/>
    <mergeCell ref="A131:D131"/>
    <mergeCell ref="G131:H131"/>
    <mergeCell ref="A230:B230"/>
    <mergeCell ref="A231:B231"/>
    <mergeCell ref="A232:B232"/>
    <mergeCell ref="A228:B228"/>
    <mergeCell ref="A229:B229"/>
    <mergeCell ref="A194:D194"/>
    <mergeCell ref="A150:B150"/>
    <mergeCell ref="A293:B293"/>
    <mergeCell ref="A294:B294"/>
    <mergeCell ref="D354:F354"/>
    <mergeCell ref="A355:B355"/>
    <mergeCell ref="A338:B338"/>
    <mergeCell ref="A295:B295"/>
    <mergeCell ref="A296:B296"/>
    <mergeCell ref="A297:B297"/>
    <mergeCell ref="A321:D321"/>
    <mergeCell ref="D301:F301"/>
    <mergeCell ref="A280:B280"/>
    <mergeCell ref="D290:F290"/>
    <mergeCell ref="A292:B292"/>
    <mergeCell ref="A288:G288"/>
    <mergeCell ref="A289:D289"/>
    <mergeCell ref="A12:B12"/>
    <mergeCell ref="A118:B118"/>
    <mergeCell ref="A119:B119"/>
    <mergeCell ref="A167:B167"/>
    <mergeCell ref="A142:B142"/>
    <mergeCell ref="A151:B151"/>
    <mergeCell ref="A152:B152"/>
    <mergeCell ref="A161:G161"/>
    <mergeCell ref="A162:D162"/>
    <mergeCell ref="G162:H162"/>
    <mergeCell ref="A8:B8"/>
    <mergeCell ref="A9:B9"/>
    <mergeCell ref="A10:B10"/>
    <mergeCell ref="A11:B11"/>
    <mergeCell ref="A3:G3"/>
    <mergeCell ref="A48:B48"/>
    <mergeCell ref="A16:B16"/>
    <mergeCell ref="A17:C17"/>
    <mergeCell ref="A4:D4"/>
    <mergeCell ref="A21:B21"/>
    <mergeCell ref="A20:B20"/>
    <mergeCell ref="A19:B19"/>
    <mergeCell ref="A22:B22"/>
    <mergeCell ref="A29:B29"/>
    <mergeCell ref="G4:H4"/>
    <mergeCell ref="A7:B7"/>
    <mergeCell ref="D336:F336"/>
    <mergeCell ref="A337:B337"/>
    <mergeCell ref="A53:B53"/>
    <mergeCell ref="D115:F115"/>
    <mergeCell ref="A116:B116"/>
    <mergeCell ref="A117:B117"/>
    <mergeCell ref="G289:H289"/>
    <mergeCell ref="A6:B6"/>
    <mergeCell ref="A121:B121"/>
    <mergeCell ref="A356:B356"/>
    <mergeCell ref="A233:B233"/>
    <mergeCell ref="A234:B234"/>
    <mergeCell ref="A166:B166"/>
    <mergeCell ref="A165:B165"/>
    <mergeCell ref="A164:B164"/>
    <mergeCell ref="A130:G130"/>
    <mergeCell ref="A353:D353"/>
    <mergeCell ref="G353:H353"/>
    <mergeCell ref="A549:B549"/>
    <mergeCell ref="A389:B389"/>
    <mergeCell ref="A390:B390"/>
    <mergeCell ref="A374:B374"/>
    <mergeCell ref="A375:B375"/>
    <mergeCell ref="A376:B376"/>
    <mergeCell ref="A490:B490"/>
    <mergeCell ref="A502:B502"/>
    <mergeCell ref="A516:B516"/>
    <mergeCell ref="A500:B500"/>
    <mergeCell ref="A550:B550"/>
    <mergeCell ref="A551:B551"/>
    <mergeCell ref="A552:B552"/>
    <mergeCell ref="A565:B565"/>
    <mergeCell ref="A561:B561"/>
    <mergeCell ref="A562:B562"/>
    <mergeCell ref="A553:B553"/>
    <mergeCell ref="A554:B554"/>
    <mergeCell ref="D558:F558"/>
    <mergeCell ref="A563:B563"/>
    <mergeCell ref="A564:B564"/>
    <mergeCell ref="A560:B560"/>
    <mergeCell ref="A559:B559"/>
    <mergeCell ref="A566:B566"/>
    <mergeCell ref="A544:G544"/>
    <mergeCell ref="A391:B391"/>
    <mergeCell ref="A387:B387"/>
    <mergeCell ref="D546:F546"/>
    <mergeCell ref="A534:B534"/>
    <mergeCell ref="A533:B533"/>
    <mergeCell ref="A398:B398"/>
    <mergeCell ref="A488:B488"/>
    <mergeCell ref="A489:B489"/>
    <mergeCell ref="A123:B123"/>
    <mergeCell ref="A243:B243"/>
    <mergeCell ref="A244:B244"/>
    <mergeCell ref="A171:B171"/>
    <mergeCell ref="A193:G193"/>
    <mergeCell ref="D174:F174"/>
    <mergeCell ref="A242:B242"/>
    <mergeCell ref="A146:B146"/>
    <mergeCell ref="A147:B147"/>
    <mergeCell ref="A148:B148"/>
    <mergeCell ref="A25:B25"/>
    <mergeCell ref="A24:B24"/>
    <mergeCell ref="A23:B23"/>
    <mergeCell ref="A35:G35"/>
    <mergeCell ref="A30:C30"/>
    <mergeCell ref="A28:B28"/>
    <mergeCell ref="A27:B27"/>
    <mergeCell ref="A50:B50"/>
    <mergeCell ref="A58:B58"/>
    <mergeCell ref="A51:B51"/>
    <mergeCell ref="A52:B52"/>
    <mergeCell ref="A36:D36"/>
    <mergeCell ref="A49:B49"/>
    <mergeCell ref="A41:B41"/>
    <mergeCell ref="A42:B42"/>
    <mergeCell ref="D37:F37"/>
    <mergeCell ref="A38:B38"/>
    <mergeCell ref="A39:B39"/>
    <mergeCell ref="A40:B40"/>
    <mergeCell ref="A43:B43"/>
    <mergeCell ref="A44:B44"/>
    <mergeCell ref="A59:B59"/>
    <mergeCell ref="A54:B54"/>
    <mergeCell ref="A55:B55"/>
    <mergeCell ref="A56:B56"/>
    <mergeCell ref="A57:B57"/>
    <mergeCell ref="A71:B71"/>
    <mergeCell ref="A373:B373"/>
    <mergeCell ref="A372:B372"/>
    <mergeCell ref="A371:B371"/>
    <mergeCell ref="A370:B370"/>
    <mergeCell ref="A369:B369"/>
    <mergeCell ref="A368:B368"/>
    <mergeCell ref="A367:B367"/>
    <mergeCell ref="A122:B122"/>
    <mergeCell ref="A120:B120"/>
    <mergeCell ref="A75:B75"/>
    <mergeCell ref="A74:B74"/>
    <mergeCell ref="A73:B73"/>
    <mergeCell ref="A72:B72"/>
    <mergeCell ref="A82:B82"/>
    <mergeCell ref="G36:H36"/>
    <mergeCell ref="A67:G67"/>
    <mergeCell ref="A68:D68"/>
    <mergeCell ref="G68:H68"/>
    <mergeCell ref="A80:B80"/>
    <mergeCell ref="A79:B79"/>
    <mergeCell ref="A78:B78"/>
    <mergeCell ref="A77:B77"/>
    <mergeCell ref="A76:B76"/>
    <mergeCell ref="A108:B108"/>
    <mergeCell ref="A107:B107"/>
    <mergeCell ref="A86:B86"/>
    <mergeCell ref="A85:B85"/>
    <mergeCell ref="A93:B93"/>
    <mergeCell ref="A92:B92"/>
    <mergeCell ref="A91:B91"/>
    <mergeCell ref="A105:B105"/>
    <mergeCell ref="A90:B90"/>
    <mergeCell ref="A89:B89"/>
    <mergeCell ref="D482:F482"/>
    <mergeCell ref="A216:B216"/>
    <mergeCell ref="A214:B214"/>
    <mergeCell ref="A212:B212"/>
    <mergeCell ref="A326:B326"/>
    <mergeCell ref="A325:B325"/>
    <mergeCell ref="A327:B327"/>
    <mergeCell ref="A248:B248"/>
    <mergeCell ref="A320:G320"/>
    <mergeCell ref="A279:B279"/>
    <mergeCell ref="A88:B88"/>
    <mergeCell ref="A87:B87"/>
    <mergeCell ref="A106:B106"/>
    <mergeCell ref="A99:G99"/>
    <mergeCell ref="A100:D100"/>
    <mergeCell ref="G100:H100"/>
    <mergeCell ref="A103:B103"/>
    <mergeCell ref="A104:B104"/>
    <mergeCell ref="A109:B109"/>
    <mergeCell ref="A198:B198"/>
    <mergeCell ref="A180:B180"/>
    <mergeCell ref="A179:B179"/>
    <mergeCell ref="A178:B178"/>
    <mergeCell ref="A177:B177"/>
    <mergeCell ref="A176:B176"/>
    <mergeCell ref="A110:B110"/>
    <mergeCell ref="A170:B170"/>
    <mergeCell ref="A169:B169"/>
    <mergeCell ref="A485:B485"/>
    <mergeCell ref="A486:B486"/>
    <mergeCell ref="A487:B487"/>
    <mergeCell ref="A471:B471"/>
    <mergeCell ref="A472:B472"/>
    <mergeCell ref="A454:B454"/>
    <mergeCell ref="A455:B455"/>
    <mergeCell ref="A456:B456"/>
    <mergeCell ref="A449:D449"/>
    <mergeCell ref="A427:B427"/>
    <mergeCell ref="A428:B428"/>
    <mergeCell ref="D226:F226"/>
    <mergeCell ref="A545:D545"/>
    <mergeCell ref="A481:D481"/>
    <mergeCell ref="A434:B434"/>
    <mergeCell ref="A435:B435"/>
    <mergeCell ref="A423:B423"/>
    <mergeCell ref="A424:B424"/>
    <mergeCell ref="A425:B425"/>
    <mergeCell ref="G545:H545"/>
    <mergeCell ref="A548:B548"/>
    <mergeCell ref="D527:F527"/>
    <mergeCell ref="A528:B528"/>
    <mergeCell ref="A529:B529"/>
    <mergeCell ref="A530:B530"/>
    <mergeCell ref="A531:B531"/>
    <mergeCell ref="A532:B532"/>
    <mergeCell ref="A535:B535"/>
    <mergeCell ref="G481:H481"/>
    <mergeCell ref="A464:B464"/>
    <mergeCell ref="A465:B465"/>
    <mergeCell ref="A466:B466"/>
    <mergeCell ref="A467:B467"/>
    <mergeCell ref="A468:B468"/>
    <mergeCell ref="A469:B469"/>
    <mergeCell ref="A480:G480"/>
    <mergeCell ref="A470:B470"/>
    <mergeCell ref="G449:H449"/>
    <mergeCell ref="A452:B452"/>
    <mergeCell ref="A453:B453"/>
    <mergeCell ref="A436:B436"/>
    <mergeCell ref="A437:B437"/>
    <mergeCell ref="A438:B438"/>
    <mergeCell ref="A448:G448"/>
    <mergeCell ref="A111:B111"/>
    <mergeCell ref="A421:B421"/>
    <mergeCell ref="A422:B422"/>
    <mergeCell ref="A235:B235"/>
    <mergeCell ref="A236:B236"/>
    <mergeCell ref="A245:B245"/>
    <mergeCell ref="A246:B246"/>
    <mergeCell ref="A247:B247"/>
    <mergeCell ref="A211:B211"/>
    <mergeCell ref="A197:B197"/>
    <mergeCell ref="A416:G416"/>
    <mergeCell ref="A417:D417"/>
    <mergeCell ref="G417:H417"/>
    <mergeCell ref="A426:B426"/>
    <mergeCell ref="A420:B420"/>
    <mergeCell ref="A404:B404"/>
    <mergeCell ref="A405:B405"/>
    <mergeCell ref="A406:B406"/>
    <mergeCell ref="A407:B407"/>
    <mergeCell ref="A377:B377"/>
    <mergeCell ref="A463:B463"/>
    <mergeCell ref="A385:D385"/>
    <mergeCell ref="G385:H385"/>
    <mergeCell ref="A384:G384"/>
    <mergeCell ref="A399:B399"/>
    <mergeCell ref="A400:B400"/>
    <mergeCell ref="A401:B401"/>
    <mergeCell ref="A402:B402"/>
    <mergeCell ref="A403:B403"/>
    <mergeCell ref="G321:H321"/>
    <mergeCell ref="A352:G352"/>
    <mergeCell ref="A324:B324"/>
    <mergeCell ref="A339:B339"/>
    <mergeCell ref="A340:B340"/>
    <mergeCell ref="A341:B341"/>
    <mergeCell ref="A342:B342"/>
    <mergeCell ref="A323:B323"/>
    <mergeCell ref="G194:H194"/>
    <mergeCell ref="A224:G224"/>
    <mergeCell ref="A225:D225"/>
    <mergeCell ref="G225:H225"/>
    <mergeCell ref="A213:B213"/>
    <mergeCell ref="A215:B215"/>
    <mergeCell ref="A202:B202"/>
    <mergeCell ref="A207:B207"/>
    <mergeCell ref="D195:F195"/>
    <mergeCell ref="A583:B583"/>
    <mergeCell ref="A584:B584"/>
    <mergeCell ref="A585:B585"/>
    <mergeCell ref="A576:G576"/>
    <mergeCell ref="A577:D577"/>
    <mergeCell ref="G577:H577"/>
    <mergeCell ref="A579:B579"/>
    <mergeCell ref="A580:B580"/>
    <mergeCell ref="A581:B581"/>
    <mergeCell ref="A582:B582"/>
    <mergeCell ref="A591:B591"/>
    <mergeCell ref="A588:B588"/>
    <mergeCell ref="A589:B589"/>
    <mergeCell ref="A590:B590"/>
    <mergeCell ref="A657:B657"/>
    <mergeCell ref="A658:B658"/>
    <mergeCell ref="A659:B659"/>
    <mergeCell ref="A664:B664"/>
    <mergeCell ref="A607:G607"/>
    <mergeCell ref="A608:D608"/>
    <mergeCell ref="G608:H608"/>
    <mergeCell ref="A656:B656"/>
    <mergeCell ref="D641:F641"/>
    <mergeCell ref="A628:B628"/>
    <mergeCell ref="A629:B629"/>
    <mergeCell ref="A630:B630"/>
    <mergeCell ref="A631:B631"/>
    <mergeCell ref="A617:B617"/>
    <mergeCell ref="A618:B618"/>
    <mergeCell ref="A619:B619"/>
    <mergeCell ref="A620:B620"/>
    <mergeCell ref="D623:F623"/>
    <mergeCell ref="A625:B625"/>
    <mergeCell ref="A626:B626"/>
    <mergeCell ref="A627:B627"/>
    <mergeCell ref="D652:F652"/>
    <mergeCell ref="A655:B655"/>
    <mergeCell ref="A642:B642"/>
    <mergeCell ref="A643:B643"/>
    <mergeCell ref="A644:B644"/>
    <mergeCell ref="A645:B645"/>
    <mergeCell ref="A614:B614"/>
    <mergeCell ref="A615:B615"/>
    <mergeCell ref="A616:B616"/>
    <mergeCell ref="A654:B654"/>
    <mergeCell ref="A646:B646"/>
    <mergeCell ref="A647:B647"/>
    <mergeCell ref="A624:B624"/>
    <mergeCell ref="A639:G639"/>
    <mergeCell ref="A640:D640"/>
    <mergeCell ref="G640:H640"/>
    <mergeCell ref="A610:B610"/>
    <mergeCell ref="A611:B611"/>
    <mergeCell ref="A612:B612"/>
    <mergeCell ref="A613:B613"/>
    <mergeCell ref="A134:B134"/>
    <mergeCell ref="A135:B135"/>
    <mergeCell ref="A136:B136"/>
    <mergeCell ref="A137:B137"/>
    <mergeCell ref="A138:B138"/>
    <mergeCell ref="A139:B139"/>
    <mergeCell ref="A140:B140"/>
    <mergeCell ref="A141:B141"/>
  </mergeCells>
  <conditionalFormatting sqref="F375 A501:A504 A495:A498 E500:F501 D495:F499 H504:H505 D504:G504 D374:F374 A520:A523 A514:A517 E519:F520 D502:G502 H523:H524 D523:G523 D521:G521 D514:F518 A871 E890:F900 E902:F913 D1007:F1007 E921:F931 D963:D974 D889:D913 E964:F974 D933:F944 D920:D932 E983:F993 E995:F1005 D952:F962 D951 D982:D1005">
    <cfRule type="cellIs" priority="1" dxfId="0" operator="equal" stopIfTrue="1">
      <formula>0</formula>
    </cfRule>
  </conditionalFormatting>
  <printOptions/>
  <pageMargins left="0.35433070866141736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H182"/>
  <sheetViews>
    <sheetView showGridLines="0" view="pageBreakPreview" zoomScaleSheetLayoutView="100" workbookViewId="0" topLeftCell="A151">
      <selection activeCell="A30" sqref="A30:H31"/>
    </sheetView>
  </sheetViews>
  <sheetFormatPr defaultColWidth="9.00390625" defaultRowHeight="22.5" customHeight="1"/>
  <cols>
    <col min="1" max="1" width="12.25390625" style="56" customWidth="1"/>
    <col min="2" max="2" width="4.00390625" style="56" customWidth="1"/>
    <col min="3" max="3" width="9.125" style="56" customWidth="1"/>
    <col min="4" max="4" width="6.25390625" style="56" customWidth="1"/>
    <col min="5" max="5" width="7.75390625" style="56" customWidth="1"/>
    <col min="6" max="6" width="13.625" style="56" customWidth="1"/>
    <col min="7" max="7" width="8.125" style="56" customWidth="1"/>
    <col min="8" max="8" width="26.625" style="56" customWidth="1"/>
    <col min="9" max="16384" width="8.875" style="56" customWidth="1"/>
  </cols>
  <sheetData>
    <row r="1" spans="1:8" ht="24" customHeight="1">
      <c r="A1" s="226" t="str">
        <f>data!K1</f>
        <v>經濟部水利署第十河川局</v>
      </c>
      <c r="B1" s="53"/>
      <c r="C1" s="53"/>
      <c r="D1" s="53"/>
      <c r="E1" s="53"/>
      <c r="F1" s="54"/>
      <c r="G1" s="54"/>
      <c r="H1" s="55"/>
    </row>
    <row r="2" spans="1:8" ht="24" customHeight="1">
      <c r="A2" s="412" t="s">
        <v>597</v>
      </c>
      <c r="B2" s="34"/>
      <c r="C2" s="34"/>
      <c r="D2" s="34"/>
      <c r="E2" s="34"/>
      <c r="F2" s="34"/>
      <c r="G2" s="34"/>
      <c r="H2" s="34"/>
    </row>
    <row r="3" spans="1:8" ht="31.5" customHeight="1">
      <c r="A3" s="1642" t="str">
        <f>data!F1</f>
        <v>工程名稱:基隆河整體治理計劃（前期計劃）瑞芳區塊介壽橋下游左右岸護岸工程</v>
      </c>
      <c r="B3" s="1642"/>
      <c r="C3" s="1642"/>
      <c r="D3" s="1642"/>
      <c r="E3" s="1642"/>
      <c r="F3" s="1642"/>
      <c r="G3" s="1642"/>
      <c r="H3" s="1642"/>
    </row>
    <row r="4" spans="1:8" ht="24" customHeight="1" thickBot="1">
      <c r="A4" s="1644" t="str">
        <f>data!C1</f>
        <v>施工地點：台北縣瑞芳鎮</v>
      </c>
      <c r="B4" s="1644"/>
      <c r="C4" s="1644"/>
      <c r="D4" s="1644"/>
      <c r="E4" s="212"/>
      <c r="F4" s="212"/>
      <c r="G4" s="35"/>
      <c r="H4" s="57" t="s">
        <v>1280</v>
      </c>
    </row>
    <row r="5" spans="1:8" ht="24" customHeight="1">
      <c r="A5" s="58" t="s">
        <v>477</v>
      </c>
      <c r="B5" s="59"/>
      <c r="C5" s="60"/>
      <c r="D5" s="60"/>
      <c r="E5" s="61"/>
      <c r="F5" s="61"/>
      <c r="G5" s="62"/>
      <c r="H5" s="63"/>
    </row>
    <row r="6" spans="1:8" ht="24" customHeight="1">
      <c r="A6" s="64" t="s">
        <v>661</v>
      </c>
      <c r="B6" s="36"/>
      <c r="C6" s="65"/>
      <c r="D6" s="66"/>
      <c r="E6" s="67"/>
      <c r="F6" s="68"/>
      <c r="G6" s="68"/>
      <c r="H6" s="69"/>
    </row>
    <row r="7" spans="1:8" ht="24" customHeight="1">
      <c r="A7" s="70" t="s">
        <v>662</v>
      </c>
      <c r="B7" s="36"/>
      <c r="C7" s="71"/>
      <c r="D7" s="72"/>
      <c r="E7" s="73"/>
      <c r="F7" s="68"/>
      <c r="G7" s="68"/>
      <c r="H7" s="74"/>
    </row>
    <row r="8" spans="1:8" ht="24" customHeight="1">
      <c r="A8" s="70" t="s">
        <v>663</v>
      </c>
      <c r="B8" s="36"/>
      <c r="C8" s="71"/>
      <c r="D8" s="72"/>
      <c r="E8" s="75"/>
      <c r="F8" s="75"/>
      <c r="G8" s="68"/>
      <c r="H8" s="42"/>
    </row>
    <row r="9" spans="1:8" ht="24" customHeight="1">
      <c r="A9" s="70" t="s">
        <v>664</v>
      </c>
      <c r="B9" s="36"/>
      <c r="C9" s="71"/>
      <c r="D9" s="72"/>
      <c r="E9" s="75"/>
      <c r="F9" s="68"/>
      <c r="G9" s="68"/>
      <c r="H9" s="42"/>
    </row>
    <row r="10" spans="1:8" ht="24" customHeight="1">
      <c r="A10" s="70" t="s">
        <v>665</v>
      </c>
      <c r="B10" s="36"/>
      <c r="C10" s="71"/>
      <c r="D10" s="72"/>
      <c r="E10" s="75"/>
      <c r="F10" s="68"/>
      <c r="G10" s="68"/>
      <c r="H10" s="42"/>
    </row>
    <row r="11" spans="1:8" ht="24" customHeight="1">
      <c r="A11" s="70" t="s">
        <v>666</v>
      </c>
      <c r="B11" s="36"/>
      <c r="C11" s="71"/>
      <c r="D11" s="72"/>
      <c r="E11" s="75"/>
      <c r="F11" s="68"/>
      <c r="G11" s="68"/>
      <c r="H11" s="42"/>
    </row>
    <row r="12" spans="1:8" ht="24" customHeight="1">
      <c r="A12" s="70"/>
      <c r="B12" s="36"/>
      <c r="C12" s="71"/>
      <c r="D12" s="72"/>
      <c r="E12" s="75"/>
      <c r="F12" s="68"/>
      <c r="G12" s="68"/>
      <c r="H12" s="42"/>
    </row>
    <row r="13" spans="1:8" ht="24" customHeight="1">
      <c r="A13" s="788" t="s">
        <v>1255</v>
      </c>
      <c r="B13" s="690"/>
      <c r="C13" s="1153"/>
      <c r="D13" s="692"/>
      <c r="E13" s="683"/>
      <c r="F13" s="683"/>
      <c r="G13" s="683"/>
      <c r="H13" s="685"/>
    </row>
    <row r="14" spans="1:8" ht="24" customHeight="1">
      <c r="A14" s="788" t="s">
        <v>1256</v>
      </c>
      <c r="B14" s="690"/>
      <c r="C14" s="1153"/>
      <c r="D14" s="683"/>
      <c r="E14" s="683"/>
      <c r="F14" s="683"/>
      <c r="G14" s="683"/>
      <c r="H14" s="1154"/>
    </row>
    <row r="15" spans="1:8" ht="24" customHeight="1">
      <c r="A15" s="667" t="s">
        <v>1257</v>
      </c>
      <c r="B15" s="690"/>
      <c r="C15" s="690"/>
      <c r="D15" s="692"/>
      <c r="E15" s="686"/>
      <c r="F15" s="686"/>
      <c r="G15" s="686"/>
      <c r="H15" s="687"/>
    </row>
    <row r="16" spans="1:8" ht="24" customHeight="1">
      <c r="A16" s="667" t="s">
        <v>1258</v>
      </c>
      <c r="B16" s="690"/>
      <c r="C16" s="690"/>
      <c r="D16" s="1155"/>
      <c r="E16" s="1156"/>
      <c r="F16" s="1157"/>
      <c r="G16" s="689"/>
      <c r="H16" s="1158"/>
    </row>
    <row r="17" spans="1:8" ht="24" customHeight="1">
      <c r="A17" s="667" t="s">
        <v>1259</v>
      </c>
      <c r="B17" s="1159"/>
      <c r="C17" s="706"/>
      <c r="D17" s="706"/>
      <c r="E17" s="1160"/>
      <c r="F17" s="1160"/>
      <c r="G17" s="1160"/>
      <c r="H17" s="1161"/>
    </row>
    <row r="18" spans="1:8" ht="24" customHeight="1">
      <c r="A18" s="1162"/>
      <c r="B18" s="1163"/>
      <c r="C18" s="1163"/>
      <c r="D18" s="1163"/>
      <c r="E18" s="1163"/>
      <c r="F18" s="1163"/>
      <c r="G18" s="1164"/>
      <c r="H18" s="1165"/>
    </row>
    <row r="19" spans="1:8" ht="24" customHeight="1">
      <c r="A19" s="788" t="s">
        <v>1260</v>
      </c>
      <c r="B19" s="1163"/>
      <c r="C19" s="1163"/>
      <c r="D19" s="1163"/>
      <c r="E19" s="1163"/>
      <c r="F19" s="1163"/>
      <c r="G19" s="1164"/>
      <c r="H19" s="1165"/>
    </row>
    <row r="20" spans="1:8" ht="24" customHeight="1">
      <c r="A20" s="788" t="s">
        <v>1261</v>
      </c>
      <c r="B20" s="789"/>
      <c r="C20" s="702"/>
      <c r="D20" s="703"/>
      <c r="E20" s="704"/>
      <c r="F20" s="683"/>
      <c r="G20" s="683"/>
      <c r="H20" s="705"/>
    </row>
    <row r="21" spans="1:8" ht="24" customHeight="1">
      <c r="A21" s="667" t="s">
        <v>1262</v>
      </c>
      <c r="B21" s="789"/>
      <c r="C21" s="691"/>
      <c r="D21" s="692"/>
      <c r="E21" s="1166"/>
      <c r="F21" s="683"/>
      <c r="G21" s="683"/>
      <c r="H21" s="1167"/>
    </row>
    <row r="22" spans="1:8" ht="24" customHeight="1">
      <c r="A22" s="1168" t="s">
        <v>1263</v>
      </c>
      <c r="B22" s="789"/>
      <c r="C22" s="691"/>
      <c r="D22" s="692"/>
      <c r="E22" s="1166"/>
      <c r="F22" s="683"/>
      <c r="G22" s="683"/>
      <c r="H22" s="1167"/>
    </row>
    <row r="23" spans="1:8" ht="24" customHeight="1">
      <c r="A23" s="667" t="s">
        <v>1264</v>
      </c>
      <c r="B23" s="789"/>
      <c r="C23" s="691"/>
      <c r="D23" s="692"/>
      <c r="E23" s="693"/>
      <c r="F23" s="693"/>
      <c r="G23" s="683"/>
      <c r="H23" s="684"/>
    </row>
    <row r="24" spans="1:8" ht="24" customHeight="1">
      <c r="A24" s="1169"/>
      <c r="B24" s="789"/>
      <c r="C24" s="702"/>
      <c r="D24" s="703"/>
      <c r="E24" s="704"/>
      <c r="F24" s="683"/>
      <c r="G24" s="683"/>
      <c r="H24" s="705"/>
    </row>
    <row r="25" spans="1:8" ht="24" customHeight="1">
      <c r="A25" s="788" t="s">
        <v>1265</v>
      </c>
      <c r="B25" s="789"/>
      <c r="C25" s="702"/>
      <c r="D25" s="703"/>
      <c r="E25" s="704"/>
      <c r="F25" s="683"/>
      <c r="G25" s="683"/>
      <c r="H25" s="705"/>
    </row>
    <row r="26" spans="1:8" ht="24" customHeight="1">
      <c r="A26" s="788" t="s">
        <v>1261</v>
      </c>
      <c r="B26" s="789"/>
      <c r="C26" s="702"/>
      <c r="D26" s="703"/>
      <c r="E26" s="704"/>
      <c r="F26" s="683"/>
      <c r="G26" s="683"/>
      <c r="H26" s="705"/>
    </row>
    <row r="27" spans="1:8" ht="24" customHeight="1">
      <c r="A27" s="667" t="s">
        <v>1262</v>
      </c>
      <c r="B27" s="789"/>
      <c r="C27" s="691"/>
      <c r="D27" s="692"/>
      <c r="E27" s="1166"/>
      <c r="F27" s="683"/>
      <c r="G27" s="683"/>
      <c r="H27" s="1167"/>
    </row>
    <row r="28" spans="1:8" ht="24" customHeight="1">
      <c r="A28" s="1168" t="s">
        <v>1263</v>
      </c>
      <c r="B28" s="789"/>
      <c r="C28" s="691"/>
      <c r="D28" s="692"/>
      <c r="E28" s="1166"/>
      <c r="F28" s="683"/>
      <c r="G28" s="683"/>
      <c r="H28" s="1167"/>
    </row>
    <row r="29" spans="1:8" ht="24" customHeight="1" thickBot="1">
      <c r="A29" s="1170" t="s">
        <v>1264</v>
      </c>
      <c r="B29" s="1171"/>
      <c r="C29" s="1172"/>
      <c r="D29" s="1173"/>
      <c r="E29" s="1174"/>
      <c r="F29" s="1174"/>
      <c r="G29" s="1175"/>
      <c r="H29" s="1176"/>
    </row>
    <row r="30" spans="1:8" ht="24" customHeight="1">
      <c r="A30" s="844"/>
      <c r="B30" s="845"/>
      <c r="C30" s="846"/>
      <c r="D30" s="847"/>
      <c r="E30" s="848"/>
      <c r="F30" s="849"/>
      <c r="G30" s="850"/>
      <c r="H30" s="851"/>
    </row>
    <row r="31" spans="1:8" ht="24" customHeight="1">
      <c r="A31" s="29" t="s">
        <v>457</v>
      </c>
      <c r="B31" s="29"/>
      <c r="C31" s="29"/>
      <c r="D31" s="29"/>
      <c r="E31" s="29" t="s">
        <v>458</v>
      </c>
      <c r="F31" s="29"/>
      <c r="G31" s="29"/>
      <c r="H31" s="29"/>
    </row>
    <row r="32" spans="1:8" ht="24.75" customHeight="1">
      <c r="A32" s="226" t="str">
        <f>A1</f>
        <v>經濟部水利署第十河川局</v>
      </c>
      <c r="B32" s="53"/>
      <c r="C32" s="53"/>
      <c r="D32" s="53"/>
      <c r="E32" s="53"/>
      <c r="F32" s="54"/>
      <c r="G32" s="54"/>
      <c r="H32" s="55"/>
    </row>
    <row r="33" spans="1:8" ht="24.75" customHeight="1">
      <c r="A33" s="412" t="str">
        <f>A2</f>
        <v>工 程 數 量 計 算 表(丙)</v>
      </c>
      <c r="B33" s="34"/>
      <c r="C33" s="34"/>
      <c r="D33" s="34"/>
      <c r="E33" s="34"/>
      <c r="F33" s="34"/>
      <c r="G33" s="34"/>
      <c r="H33" s="34"/>
    </row>
    <row r="34" spans="1:8" ht="31.5" customHeight="1">
      <c r="A34" s="1642" t="str">
        <f>A3</f>
        <v>工程名稱:基隆河整體治理計劃（前期計劃）瑞芳區塊介壽橋下游左右岸護岸工程</v>
      </c>
      <c r="B34" s="1642"/>
      <c r="C34" s="1642"/>
      <c r="D34" s="1642"/>
      <c r="E34" s="1642"/>
      <c r="F34" s="1642"/>
      <c r="G34" s="1642"/>
      <c r="H34" s="1642"/>
    </row>
    <row r="35" spans="1:8" ht="24.75" customHeight="1" thickBot="1">
      <c r="A35" s="1643" t="str">
        <f>A4</f>
        <v>施工地點：台北縣瑞芳鎮</v>
      </c>
      <c r="B35" s="1643"/>
      <c r="C35" s="1643"/>
      <c r="D35" s="1643"/>
      <c r="E35" s="212"/>
      <c r="F35" s="212"/>
      <c r="G35" s="35"/>
      <c r="H35" s="57" t="s">
        <v>1279</v>
      </c>
    </row>
    <row r="36" spans="1:8" ht="24.75" customHeight="1">
      <c r="A36" s="504" t="s">
        <v>858</v>
      </c>
      <c r="B36" s="778"/>
      <c r="C36" s="854"/>
      <c r="D36" s="855"/>
      <c r="E36" s="699"/>
      <c r="F36" s="699"/>
      <c r="G36" s="699"/>
      <c r="H36" s="856"/>
    </row>
    <row r="37" spans="1:8" ht="24.75" customHeight="1">
      <c r="A37" s="70" t="s">
        <v>667</v>
      </c>
      <c r="B37" s="37"/>
      <c r="C37" s="76"/>
      <c r="D37" s="68"/>
      <c r="E37" s="68"/>
      <c r="F37" s="68"/>
      <c r="G37" s="68"/>
      <c r="H37" s="44"/>
    </row>
    <row r="38" spans="1:8" ht="24.75" customHeight="1">
      <c r="A38" s="70" t="s">
        <v>668</v>
      </c>
      <c r="B38" s="183"/>
      <c r="C38" s="182"/>
      <c r="D38" s="473"/>
      <c r="E38" s="388"/>
      <c r="F38" s="388"/>
      <c r="G38" s="77"/>
      <c r="H38" s="45"/>
    </row>
    <row r="39" spans="1:8" ht="24.75" customHeight="1">
      <c r="A39" s="70" t="s">
        <v>859</v>
      </c>
      <c r="B39" s="183" t="s">
        <v>860</v>
      </c>
      <c r="C39" s="37"/>
      <c r="D39" s="78"/>
      <c r="E39" s="79"/>
      <c r="F39" s="80"/>
      <c r="G39" s="77"/>
      <c r="H39" s="81"/>
    </row>
    <row r="40" spans="1:8" ht="24.75" customHeight="1">
      <c r="A40" s="70" t="s">
        <v>861</v>
      </c>
      <c r="B40" s="37"/>
      <c r="C40" s="76"/>
      <c r="D40" s="68"/>
      <c r="E40" s="68"/>
      <c r="F40" s="68"/>
      <c r="G40" s="68"/>
      <c r="H40" s="44"/>
    </row>
    <row r="41" spans="1:8" ht="24.75" customHeight="1">
      <c r="A41" s="70" t="s">
        <v>862</v>
      </c>
      <c r="B41" s="183"/>
      <c r="C41" s="182"/>
      <c r="D41" s="473"/>
      <c r="E41" s="388"/>
      <c r="F41" s="388"/>
      <c r="G41" s="77"/>
      <c r="H41" s="45"/>
    </row>
    <row r="42" spans="1:8" ht="24.75" customHeight="1">
      <c r="A42" s="70" t="s">
        <v>859</v>
      </c>
      <c r="B42" s="183" t="s">
        <v>863</v>
      </c>
      <c r="C42" s="37"/>
      <c r="D42" s="78"/>
      <c r="E42" s="79"/>
      <c r="F42" s="80"/>
      <c r="G42" s="77"/>
      <c r="H42" s="81"/>
    </row>
    <row r="43" spans="1:8" ht="24.75" customHeight="1">
      <c r="A43" s="70" t="s">
        <v>669</v>
      </c>
      <c r="B43" s="36"/>
      <c r="C43" s="474"/>
      <c r="D43" s="72"/>
      <c r="E43" s="68"/>
      <c r="F43" s="68"/>
      <c r="G43" s="68"/>
      <c r="H43" s="475"/>
    </row>
    <row r="44" spans="1:8" ht="24.75" customHeight="1">
      <c r="A44" s="70" t="s">
        <v>864</v>
      </c>
      <c r="B44" s="36"/>
      <c r="C44" s="474"/>
      <c r="D44" s="72"/>
      <c r="E44" s="68"/>
      <c r="F44" s="68"/>
      <c r="G44" s="68"/>
      <c r="H44" s="475"/>
    </row>
    <row r="45" spans="1:8" ht="24.75" customHeight="1">
      <c r="A45" s="70"/>
      <c r="B45" s="36"/>
      <c r="C45" s="474"/>
      <c r="D45" s="72"/>
      <c r="E45" s="68"/>
      <c r="F45" s="68"/>
      <c r="G45" s="68"/>
      <c r="H45" s="475"/>
    </row>
    <row r="46" spans="1:8" ht="24.75" customHeight="1">
      <c r="A46" s="842" t="s">
        <v>927</v>
      </c>
      <c r="B46" s="183"/>
      <c r="C46" s="506"/>
      <c r="D46" s="230"/>
      <c r="E46" s="388"/>
      <c r="F46" s="388"/>
      <c r="G46" s="388"/>
      <c r="H46" s="69"/>
    </row>
    <row r="47" spans="1:8" ht="24.75" customHeight="1">
      <c r="A47" s="70" t="s">
        <v>911</v>
      </c>
      <c r="B47" s="37"/>
      <c r="C47" s="76"/>
      <c r="D47" s="68"/>
      <c r="E47" s="68"/>
      <c r="F47" s="68"/>
      <c r="G47" s="68"/>
      <c r="H47" s="44"/>
    </row>
    <row r="48" spans="1:8" ht="24.75" customHeight="1">
      <c r="A48" s="70" t="s">
        <v>862</v>
      </c>
      <c r="B48" s="183"/>
      <c r="C48" s="182"/>
      <c r="D48" s="473"/>
      <c r="E48" s="388"/>
      <c r="F48" s="388"/>
      <c r="G48" s="77"/>
      <c r="H48" s="45"/>
    </row>
    <row r="49" spans="1:8" ht="24.75" customHeight="1">
      <c r="A49" s="70" t="s">
        <v>913</v>
      </c>
      <c r="B49" s="183" t="s">
        <v>863</v>
      </c>
      <c r="C49" s="37"/>
      <c r="D49" s="78"/>
      <c r="E49" s="79"/>
      <c r="F49" s="80"/>
      <c r="G49" s="77"/>
      <c r="H49" s="81"/>
    </row>
    <row r="50" spans="1:8" ht="24.75" customHeight="1">
      <c r="A50" s="70" t="s">
        <v>669</v>
      </c>
      <c r="B50" s="36"/>
      <c r="C50" s="474"/>
      <c r="D50" s="72"/>
      <c r="E50" s="68"/>
      <c r="F50" s="68"/>
      <c r="G50" s="68"/>
      <c r="H50" s="475"/>
    </row>
    <row r="51" spans="1:8" ht="24.75" customHeight="1">
      <c r="A51" s="70" t="s">
        <v>912</v>
      </c>
      <c r="B51" s="36"/>
      <c r="C51" s="474"/>
      <c r="D51" s="72"/>
      <c r="E51" s="68"/>
      <c r="F51" s="68"/>
      <c r="G51" s="68"/>
      <c r="H51" s="475"/>
    </row>
    <row r="52" spans="1:8" ht="24.75" customHeight="1">
      <c r="A52" s="842"/>
      <c r="B52" s="183"/>
      <c r="C52" s="506"/>
      <c r="D52" s="230"/>
      <c r="E52" s="388"/>
      <c r="F52" s="388"/>
      <c r="G52" s="388"/>
      <c r="H52" s="69"/>
    </row>
    <row r="53" spans="1:8" ht="24.75" customHeight="1">
      <c r="A53" s="843" t="s">
        <v>914</v>
      </c>
      <c r="B53" s="588"/>
      <c r="C53" s="588"/>
      <c r="D53" s="642"/>
      <c r="E53" s="653"/>
      <c r="F53" s="653"/>
      <c r="G53" s="653"/>
      <c r="H53" s="654"/>
    </row>
    <row r="54" spans="1:8" ht="24.75" customHeight="1">
      <c r="A54" s="655" t="s">
        <v>348</v>
      </c>
      <c r="B54" s="656"/>
      <c r="C54" s="590"/>
      <c r="D54" s="657"/>
      <c r="E54" s="658"/>
      <c r="F54" s="659"/>
      <c r="G54" s="660"/>
      <c r="H54" s="661"/>
    </row>
    <row r="55" spans="1:8" ht="24.75" customHeight="1">
      <c r="A55" s="1645" t="s">
        <v>1266</v>
      </c>
      <c r="B55" s="1646"/>
      <c r="C55" s="1646"/>
      <c r="D55" s="1646"/>
      <c r="E55" s="1646"/>
      <c r="F55" s="1646"/>
      <c r="G55" s="662"/>
      <c r="H55" s="663"/>
    </row>
    <row r="56" spans="1:8" ht="24.75" customHeight="1">
      <c r="A56" s="1645" t="s">
        <v>1267</v>
      </c>
      <c r="B56" s="1646"/>
      <c r="C56" s="1646"/>
      <c r="D56" s="1646"/>
      <c r="E56" s="1646"/>
      <c r="F56" s="1646"/>
      <c r="G56" s="1646"/>
      <c r="H56" s="1647"/>
    </row>
    <row r="57" spans="1:8" ht="24.75" customHeight="1">
      <c r="A57" s="664" t="s">
        <v>349</v>
      </c>
      <c r="B57" s="588"/>
      <c r="C57" s="588"/>
      <c r="D57" s="665"/>
      <c r="E57" s="666"/>
      <c r="F57" s="666"/>
      <c r="G57" s="666"/>
      <c r="H57" s="661"/>
    </row>
    <row r="58" spans="1:8" ht="24.75" customHeight="1">
      <c r="A58" s="1177" t="s">
        <v>347</v>
      </c>
      <c r="B58" s="39"/>
      <c r="C58" s="39"/>
      <c r="D58" s="88"/>
      <c r="E58" s="77"/>
      <c r="F58" s="77"/>
      <c r="G58" s="77"/>
      <c r="H58" s="684"/>
    </row>
    <row r="59" spans="1:8" ht="24" customHeight="1" thickBot="1">
      <c r="A59" s="1178" t="s">
        <v>350</v>
      </c>
      <c r="B59" s="1179"/>
      <c r="C59" s="1179"/>
      <c r="D59" s="1180"/>
      <c r="E59" s="1181"/>
      <c r="F59" s="1181"/>
      <c r="G59" s="1181"/>
      <c r="H59" s="1182"/>
    </row>
    <row r="60" spans="1:8" ht="24" customHeight="1">
      <c r="A60" s="1190"/>
      <c r="B60" s="1191"/>
      <c r="C60" s="1191"/>
      <c r="D60" s="1192"/>
      <c r="E60" s="1193"/>
      <c r="F60" s="1193"/>
      <c r="G60" s="1193"/>
      <c r="H60" s="1194"/>
    </row>
    <row r="61" spans="1:8" ht="24" customHeight="1">
      <c r="A61" s="227" t="s">
        <v>457</v>
      </c>
      <c r="B61" s="227"/>
      <c r="C61" s="227"/>
      <c r="D61" s="227"/>
      <c r="E61" s="227" t="s">
        <v>458</v>
      </c>
      <c r="F61" s="227"/>
      <c r="G61" s="227"/>
      <c r="H61" s="227"/>
    </row>
    <row r="62" spans="1:8" ht="24.75" customHeight="1">
      <c r="A62" s="857" t="str">
        <f>A32</f>
        <v>經濟部水利署第十河川局</v>
      </c>
      <c r="B62" s="53"/>
      <c r="C62" s="53"/>
      <c r="D62" s="53"/>
      <c r="E62" s="53"/>
      <c r="F62" s="54"/>
      <c r="G62" s="54"/>
      <c r="H62" s="55"/>
    </row>
    <row r="63" spans="1:8" ht="24.75" customHeight="1">
      <c r="A63" s="858" t="str">
        <f>A33</f>
        <v>工 程 數 量 計 算 表(丙)</v>
      </c>
      <c r="B63" s="54"/>
      <c r="C63" s="54"/>
      <c r="D63" s="54"/>
      <c r="E63" s="54"/>
      <c r="F63" s="54"/>
      <c r="G63" s="54"/>
      <c r="H63" s="54"/>
    </row>
    <row r="64" spans="1:8" ht="31.5" customHeight="1">
      <c r="A64" s="1650" t="str">
        <f>A34</f>
        <v>工程名稱:基隆河整體治理計劃（前期計劃）瑞芳區塊介壽橋下游左右岸護岸工程</v>
      </c>
      <c r="B64" s="1650"/>
      <c r="C64" s="1650"/>
      <c r="D64" s="1650"/>
      <c r="E64" s="1650"/>
      <c r="F64" s="1650"/>
      <c r="G64" s="1651"/>
      <c r="H64" s="54"/>
    </row>
    <row r="65" spans="1:8" ht="24.75" customHeight="1" thickBot="1">
      <c r="A65" s="1643" t="str">
        <f>A35</f>
        <v>施工地點：台北縣瑞芳鎮</v>
      </c>
      <c r="B65" s="1643"/>
      <c r="C65" s="1643"/>
      <c r="D65" s="1643"/>
      <c r="E65" s="859"/>
      <c r="F65" s="859"/>
      <c r="G65" s="860"/>
      <c r="H65" s="57" t="s">
        <v>1278</v>
      </c>
    </row>
    <row r="66" spans="1:8" ht="24.75" customHeight="1">
      <c r="A66" s="1195" t="s">
        <v>352</v>
      </c>
      <c r="B66" s="1196"/>
      <c r="C66" s="1196"/>
      <c r="D66" s="1197"/>
      <c r="E66" s="1198"/>
      <c r="F66" s="1199"/>
      <c r="G66" s="1200"/>
      <c r="H66" s="1201"/>
    </row>
    <row r="67" spans="1:8" ht="24.75" customHeight="1">
      <c r="A67" s="1645" t="s">
        <v>353</v>
      </c>
      <c r="B67" s="1646"/>
      <c r="C67" s="1646"/>
      <c r="D67" s="1646"/>
      <c r="E67" s="1646"/>
      <c r="F67" s="1646"/>
      <c r="G67" s="1183"/>
      <c r="H67" s="1184"/>
    </row>
    <row r="68" spans="1:8" ht="24.75" customHeight="1">
      <c r="A68" s="1645" t="s">
        <v>354</v>
      </c>
      <c r="B68" s="1646"/>
      <c r="C68" s="1646"/>
      <c r="D68" s="1646"/>
      <c r="E68" s="1646"/>
      <c r="F68" s="1646"/>
      <c r="G68" s="662"/>
      <c r="H68" s="663"/>
    </row>
    <row r="69" spans="1:8" ht="24.75" customHeight="1">
      <c r="A69" s="1645" t="s">
        <v>355</v>
      </c>
      <c r="B69" s="1646"/>
      <c r="C69" s="1646"/>
      <c r="D69" s="1646"/>
      <c r="E69" s="1646"/>
      <c r="F69" s="1646"/>
      <c r="G69" s="1646"/>
      <c r="H69" s="1647"/>
    </row>
    <row r="70" spans="1:8" ht="24.75" customHeight="1">
      <c r="A70" s="747" t="s">
        <v>356</v>
      </c>
      <c r="B70" s="1185"/>
      <c r="C70" s="1186"/>
      <c r="D70" s="642"/>
      <c r="E70" s="660"/>
      <c r="F70" s="817"/>
      <c r="G70" s="660"/>
      <c r="H70" s="814"/>
    </row>
    <row r="71" spans="1:8" ht="24.75" customHeight="1">
      <c r="A71" s="70"/>
      <c r="B71" s="76"/>
      <c r="C71" s="72"/>
      <c r="D71" s="68"/>
      <c r="E71" s="68"/>
      <c r="F71" s="68"/>
      <c r="G71" s="68"/>
      <c r="H71" s="42"/>
    </row>
    <row r="72" spans="1:8" ht="24.75" customHeight="1">
      <c r="A72" s="477" t="s">
        <v>915</v>
      </c>
      <c r="B72" s="76"/>
      <c r="C72" s="72"/>
      <c r="D72" s="68"/>
      <c r="E72" s="68"/>
      <c r="F72" s="68"/>
      <c r="G72" s="68"/>
      <c r="H72" s="42"/>
    </row>
    <row r="73" spans="1:8" ht="24.75" customHeight="1">
      <c r="A73" s="70" t="s">
        <v>923</v>
      </c>
      <c r="B73" s="76"/>
      <c r="C73" s="72"/>
      <c r="D73" s="68"/>
      <c r="E73" s="75"/>
      <c r="F73" s="478"/>
      <c r="G73" s="472"/>
      <c r="H73" s="278"/>
    </row>
    <row r="74" spans="1:8" ht="24.75" customHeight="1">
      <c r="A74" s="70" t="s">
        <v>670</v>
      </c>
      <c r="B74" s="76"/>
      <c r="C74" s="72"/>
      <c r="D74" s="68"/>
      <c r="E74" s="68"/>
      <c r="F74" s="68"/>
      <c r="G74" s="68"/>
      <c r="H74" s="69"/>
    </row>
    <row r="75" spans="1:8" ht="24.75" customHeight="1">
      <c r="A75" s="70" t="s">
        <v>924</v>
      </c>
      <c r="B75" s="76"/>
      <c r="C75" s="72"/>
      <c r="D75" s="68"/>
      <c r="E75" s="68"/>
      <c r="F75" s="68"/>
      <c r="G75" s="68"/>
      <c r="H75" s="74"/>
    </row>
    <row r="76" spans="1:8" ht="24.75" customHeight="1">
      <c r="A76" s="1648"/>
      <c r="B76" s="1649"/>
      <c r="C76" s="1649"/>
      <c r="D76" s="1649"/>
      <c r="E76" s="1649"/>
      <c r="F76" s="75"/>
      <c r="G76" s="68"/>
      <c r="H76" s="42"/>
    </row>
    <row r="77" spans="1:8" ht="24.75" customHeight="1">
      <c r="A77" s="477" t="s">
        <v>916</v>
      </c>
      <c r="B77" s="39"/>
      <c r="C77" s="88"/>
      <c r="D77" s="77"/>
      <c r="E77" s="77"/>
      <c r="F77" s="68"/>
      <c r="G77" s="68"/>
      <c r="H77" s="42"/>
    </row>
    <row r="78" spans="1:8" ht="24.75" customHeight="1">
      <c r="A78" s="64" t="s">
        <v>792</v>
      </c>
      <c r="B78" s="39"/>
      <c r="C78" s="479"/>
      <c r="D78" s="79"/>
      <c r="E78" s="80"/>
      <c r="F78" s="80"/>
      <c r="G78" s="68"/>
      <c r="H78" s="42"/>
    </row>
    <row r="79" spans="1:8" ht="24.75" customHeight="1">
      <c r="A79" s="480" t="s">
        <v>793</v>
      </c>
      <c r="B79" s="230"/>
      <c r="C79" s="230"/>
      <c r="D79" s="231"/>
      <c r="E79" s="231"/>
      <c r="F79" s="68"/>
      <c r="G79" s="68"/>
      <c r="H79" s="42"/>
    </row>
    <row r="80" spans="1:8" ht="24.75" customHeight="1">
      <c r="A80" s="480"/>
      <c r="B80" s="230"/>
      <c r="C80" s="230"/>
      <c r="D80" s="231"/>
      <c r="E80" s="231"/>
      <c r="F80" s="68"/>
      <c r="G80" s="68"/>
      <c r="H80" s="42"/>
    </row>
    <row r="81" spans="1:8" ht="24.75" customHeight="1">
      <c r="A81" s="70" t="s">
        <v>917</v>
      </c>
      <c r="B81" s="783"/>
      <c r="C81" s="783"/>
      <c r="D81" s="783"/>
      <c r="E81" s="783"/>
      <c r="F81" s="68"/>
      <c r="G81" s="68"/>
      <c r="H81" s="43"/>
    </row>
    <row r="82" spans="1:8" ht="24.75" customHeight="1">
      <c r="A82" s="64" t="s">
        <v>671</v>
      </c>
      <c r="B82" s="76"/>
      <c r="C82" s="72"/>
      <c r="D82" s="68"/>
      <c r="E82" s="68"/>
      <c r="F82" s="68"/>
      <c r="G82" s="68"/>
      <c r="H82" s="42"/>
    </row>
    <row r="83" spans="1:8" ht="24.75" customHeight="1">
      <c r="A83" s="64" t="s">
        <v>672</v>
      </c>
      <c r="B83" s="76"/>
      <c r="C83" s="72"/>
      <c r="D83" s="68"/>
      <c r="E83" s="68"/>
      <c r="F83" s="68"/>
      <c r="G83" s="68"/>
      <c r="H83" s="42"/>
    </row>
    <row r="84" spans="1:8" ht="24.75" customHeight="1">
      <c r="A84" s="64" t="s">
        <v>675</v>
      </c>
      <c r="B84" s="76"/>
      <c r="C84" s="72"/>
      <c r="D84" s="68"/>
      <c r="E84" s="68"/>
      <c r="F84" s="68"/>
      <c r="G84" s="68"/>
      <c r="H84" s="42"/>
    </row>
    <row r="85" spans="1:8" ht="24.75" customHeight="1">
      <c r="A85" s="64" t="s">
        <v>676</v>
      </c>
      <c r="B85" s="76"/>
      <c r="C85" s="72"/>
      <c r="D85" s="68"/>
      <c r="E85" s="68"/>
      <c r="F85" s="68"/>
      <c r="G85" s="68"/>
      <c r="H85" s="42"/>
    </row>
    <row r="86" spans="1:8" ht="24.75" customHeight="1">
      <c r="A86" s="64" t="s">
        <v>677</v>
      </c>
      <c r="B86" s="76"/>
      <c r="C86" s="72"/>
      <c r="D86" s="68"/>
      <c r="E86" s="68"/>
      <c r="F86" s="68"/>
      <c r="G86" s="68"/>
      <c r="H86" s="42"/>
    </row>
    <row r="87" spans="1:8" ht="24.75" customHeight="1">
      <c r="A87" s="64" t="s">
        <v>673</v>
      </c>
      <c r="B87" s="76"/>
      <c r="C87" s="72"/>
      <c r="D87" s="68"/>
      <c r="E87" s="68"/>
      <c r="F87" s="68"/>
      <c r="G87" s="68"/>
      <c r="H87" s="42"/>
    </row>
    <row r="88" spans="1:8" ht="24.75" customHeight="1">
      <c r="A88" s="64" t="s">
        <v>856</v>
      </c>
      <c r="B88" s="476"/>
      <c r="C88" s="476"/>
      <c r="D88" s="476"/>
      <c r="E88" s="476"/>
      <c r="F88" s="68"/>
      <c r="G88" s="68"/>
      <c r="H88" s="475"/>
    </row>
    <row r="89" spans="1:8" ht="24.75" customHeight="1" thickBot="1">
      <c r="A89" s="784"/>
      <c r="B89" s="785"/>
      <c r="C89" s="785"/>
      <c r="D89" s="785"/>
      <c r="E89" s="785"/>
      <c r="F89" s="786"/>
      <c r="G89" s="82"/>
      <c r="H89" s="787"/>
    </row>
    <row r="90" spans="1:8" ht="24" customHeight="1">
      <c r="A90" s="844"/>
      <c r="B90" s="845"/>
      <c r="C90" s="846"/>
      <c r="D90" s="847"/>
      <c r="E90" s="848"/>
      <c r="F90" s="849"/>
      <c r="G90" s="850"/>
      <c r="H90" s="851"/>
    </row>
    <row r="91" spans="1:8" ht="24" customHeight="1">
      <c r="A91" s="29" t="s">
        <v>457</v>
      </c>
      <c r="B91" s="29"/>
      <c r="C91" s="29"/>
      <c r="D91" s="29"/>
      <c r="E91" s="29" t="s">
        <v>458</v>
      </c>
      <c r="F91" s="29"/>
      <c r="G91" s="29"/>
      <c r="H91" s="29"/>
    </row>
    <row r="92" spans="1:8" ht="24.75" customHeight="1">
      <c r="A92" s="226" t="str">
        <f>A62</f>
        <v>經濟部水利署第十河川局</v>
      </c>
      <c r="B92" s="53"/>
      <c r="C92" s="53"/>
      <c r="D92" s="53"/>
      <c r="E92" s="53"/>
      <c r="F92" s="54"/>
      <c r="G92" s="54"/>
      <c r="H92" s="55"/>
    </row>
    <row r="93" spans="1:8" ht="24.75" customHeight="1">
      <c r="A93" s="412" t="str">
        <f>A63</f>
        <v>工 程 數 量 計 算 表(丙)</v>
      </c>
      <c r="B93" s="34"/>
      <c r="C93" s="34"/>
      <c r="D93" s="34"/>
      <c r="E93" s="34"/>
      <c r="F93" s="34"/>
      <c r="G93" s="34"/>
      <c r="H93" s="34"/>
    </row>
    <row r="94" spans="1:8" ht="31.5" customHeight="1">
      <c r="A94" s="1642" t="str">
        <f>A64</f>
        <v>工程名稱:基隆河整體治理計劃（前期計劃）瑞芳區塊介壽橋下游左右岸護岸工程</v>
      </c>
      <c r="B94" s="1642"/>
      <c r="C94" s="1642"/>
      <c r="D94" s="1642"/>
      <c r="E94" s="1642"/>
      <c r="F94" s="1642"/>
      <c r="G94" s="1642"/>
      <c r="H94" s="1642"/>
    </row>
    <row r="95" spans="1:8" ht="24.75" customHeight="1" thickBot="1">
      <c r="A95" s="1644" t="str">
        <f>A65</f>
        <v>施工地點：台北縣瑞芳鎮</v>
      </c>
      <c r="B95" s="1644"/>
      <c r="C95" s="1644"/>
      <c r="D95" s="1644"/>
      <c r="E95" s="212"/>
      <c r="F95" s="212"/>
      <c r="G95" s="35"/>
      <c r="H95" s="57" t="s">
        <v>1277</v>
      </c>
    </row>
    <row r="96" spans="1:8" ht="24.75" customHeight="1">
      <c r="A96" s="504" t="s">
        <v>381</v>
      </c>
      <c r="B96" s="777"/>
      <c r="C96" s="778"/>
      <c r="D96" s="779"/>
      <c r="E96" s="780"/>
      <c r="F96" s="781"/>
      <c r="G96" s="699"/>
      <c r="H96" s="782"/>
    </row>
    <row r="97" spans="1:8" ht="24.75" customHeight="1">
      <c r="A97" s="70" t="s">
        <v>674</v>
      </c>
      <c r="B97" s="183"/>
      <c r="C97" s="37"/>
      <c r="D97" s="78"/>
      <c r="E97" s="79"/>
      <c r="F97" s="80"/>
      <c r="G97" s="68"/>
      <c r="H97" s="42"/>
    </row>
    <row r="98" spans="1:8" ht="24.75" customHeight="1">
      <c r="A98" s="70" t="s">
        <v>866</v>
      </c>
      <c r="B98" s="183"/>
      <c r="C98" s="37"/>
      <c r="D98" s="78"/>
      <c r="E98" s="79"/>
      <c r="F98" s="80"/>
      <c r="G98" s="68"/>
      <c r="H98" s="481"/>
    </row>
    <row r="99" spans="1:8" ht="24.75" customHeight="1">
      <c r="A99" s="232" t="s">
        <v>867</v>
      </c>
      <c r="B99" s="37"/>
      <c r="C99" s="76"/>
      <c r="D99" s="72"/>
      <c r="E99" s="68"/>
      <c r="F99" s="68"/>
      <c r="G99" s="68"/>
      <c r="H99" s="481"/>
    </row>
    <row r="100" spans="1:8" ht="24.75" customHeight="1">
      <c r="A100" s="700" t="s">
        <v>868</v>
      </c>
      <c r="B100" s="183"/>
      <c r="C100" s="37"/>
      <c r="D100" s="78"/>
      <c r="E100" s="79"/>
      <c r="F100" s="80"/>
      <c r="G100" s="77"/>
      <c r="H100" s="81"/>
    </row>
    <row r="101" spans="1:8" ht="24.75" customHeight="1">
      <c r="A101" s="505"/>
      <c r="B101" s="36"/>
      <c r="C101" s="76"/>
      <c r="D101" s="72"/>
      <c r="E101" s="68"/>
      <c r="F101" s="68"/>
      <c r="G101" s="68"/>
      <c r="H101" s="42"/>
    </row>
    <row r="102" spans="1:8" ht="24.75" customHeight="1">
      <c r="A102" s="1188" t="s">
        <v>380</v>
      </c>
      <c r="B102" s="682"/>
      <c r="C102" s="682"/>
      <c r="D102" s="682"/>
      <c r="E102" s="682"/>
      <c r="F102" s="682"/>
      <c r="G102" s="683"/>
      <c r="H102" s="684"/>
    </row>
    <row r="103" spans="1:8" ht="24.75" customHeight="1">
      <c r="A103" s="681" t="s">
        <v>869</v>
      </c>
      <c r="B103" s="682"/>
      <c r="C103" s="682"/>
      <c r="D103" s="682"/>
      <c r="E103" s="682"/>
      <c r="F103" s="682"/>
      <c r="G103" s="683"/>
      <c r="H103" s="685"/>
    </row>
    <row r="104" spans="1:8" ht="24.75" customHeight="1">
      <c r="A104" s="681" t="s">
        <v>870</v>
      </c>
      <c r="B104" s="682"/>
      <c r="C104" s="682"/>
      <c r="D104" s="682"/>
      <c r="E104" s="682"/>
      <c r="F104" s="682"/>
      <c r="G104" s="683"/>
      <c r="H104" s="685"/>
    </row>
    <row r="105" spans="1:8" ht="24.75" customHeight="1">
      <c r="A105" s="681" t="s">
        <v>789</v>
      </c>
      <c r="B105" s="682"/>
      <c r="C105" s="682"/>
      <c r="D105" s="682"/>
      <c r="E105" s="682"/>
      <c r="F105" s="682"/>
      <c r="G105" s="686"/>
      <c r="H105" s="687"/>
    </row>
    <row r="106" spans="1:8" ht="24.75" customHeight="1">
      <c r="A106" s="681" t="s">
        <v>790</v>
      </c>
      <c r="B106" s="682"/>
      <c r="C106" s="682"/>
      <c r="D106" s="682"/>
      <c r="E106" s="682"/>
      <c r="F106" s="682"/>
      <c r="G106" s="686"/>
      <c r="H106" s="687"/>
    </row>
    <row r="107" spans="1:8" ht="24.75" customHeight="1">
      <c r="A107" s="688" t="s">
        <v>871</v>
      </c>
      <c r="B107" s="682"/>
      <c r="C107" s="682"/>
      <c r="D107" s="682"/>
      <c r="E107" s="682"/>
      <c r="F107" s="682"/>
      <c r="G107" s="689"/>
      <c r="H107" s="687"/>
    </row>
    <row r="108" spans="1:8" ht="24.75" customHeight="1">
      <c r="A108" s="681" t="s">
        <v>857</v>
      </c>
      <c r="B108" s="682"/>
      <c r="C108" s="682"/>
      <c r="D108" s="682"/>
      <c r="E108" s="682"/>
      <c r="F108" s="682"/>
      <c r="G108" s="686"/>
      <c r="H108" s="687"/>
    </row>
    <row r="109" spans="1:8" ht="24.75" customHeight="1">
      <c r="A109" s="688"/>
      <c r="B109" s="682"/>
      <c r="C109" s="682"/>
      <c r="D109" s="682"/>
      <c r="E109" s="682"/>
      <c r="F109" s="682"/>
      <c r="G109" s="689"/>
      <c r="H109" s="687"/>
    </row>
    <row r="110" spans="1:8" ht="24.75" customHeight="1">
      <c r="A110" s="788" t="s">
        <v>918</v>
      </c>
      <c r="B110" s="789"/>
      <c r="C110" s="691"/>
      <c r="D110" s="692"/>
      <c r="E110" s="693"/>
      <c r="F110" s="693"/>
      <c r="G110" s="686"/>
      <c r="H110" s="687"/>
    </row>
    <row r="111" spans="1:8" ht="24.75" customHeight="1">
      <c r="A111" s="1655" t="s">
        <v>791</v>
      </c>
      <c r="B111" s="1656"/>
      <c r="C111" s="1656"/>
      <c r="D111" s="1656"/>
      <c r="E111" s="1656"/>
      <c r="F111" s="1656"/>
      <c r="G111" s="1656"/>
      <c r="H111" s="1657"/>
    </row>
    <row r="112" spans="1:8" ht="24.75" customHeight="1">
      <c r="A112" s="675" t="s">
        <v>794</v>
      </c>
      <c r="B112" s="680"/>
      <c r="C112" s="694"/>
      <c r="D112" s="695"/>
      <c r="E112" s="695"/>
      <c r="F112" s="695"/>
      <c r="G112" s="695"/>
      <c r="H112" s="696"/>
    </row>
    <row r="113" spans="1:8" ht="24.75" customHeight="1">
      <c r="A113" s="667" t="s">
        <v>368</v>
      </c>
      <c r="B113" s="690"/>
      <c r="C113" s="690"/>
      <c r="D113" s="697"/>
      <c r="E113" s="698"/>
      <c r="F113" s="660"/>
      <c r="G113" s="660"/>
      <c r="H113" s="696"/>
    </row>
    <row r="114" spans="1:8" ht="24.75" customHeight="1">
      <c r="A114" s="232"/>
      <c r="B114" s="39"/>
      <c r="C114" s="39"/>
      <c r="D114" s="229"/>
      <c r="E114" s="79"/>
      <c r="F114" s="80"/>
      <c r="G114" s="68"/>
      <c r="H114" s="42"/>
    </row>
    <row r="115" spans="1:8" ht="24.75" customHeight="1">
      <c r="A115" s="667" t="s">
        <v>919</v>
      </c>
      <c r="B115" s="668"/>
      <c r="C115" s="668"/>
      <c r="D115" s="669"/>
      <c r="E115" s="670"/>
      <c r="F115" s="671"/>
      <c r="G115" s="672"/>
      <c r="H115" s="673"/>
    </row>
    <row r="116" spans="1:8" ht="24.75" customHeight="1">
      <c r="A116" s="1652" t="s">
        <v>788</v>
      </c>
      <c r="B116" s="1653"/>
      <c r="C116" s="1653"/>
      <c r="D116" s="1653"/>
      <c r="E116" s="1653"/>
      <c r="F116" s="1653"/>
      <c r="G116" s="1653"/>
      <c r="H116" s="1654"/>
    </row>
    <row r="117" spans="1:8" ht="24.75" customHeight="1">
      <c r="A117" s="674" t="s">
        <v>795</v>
      </c>
      <c r="B117" s="680"/>
      <c r="C117" s="676"/>
      <c r="D117" s="677"/>
      <c r="E117" s="670"/>
      <c r="F117" s="671"/>
      <c r="G117" s="678"/>
      <c r="H117" s="679"/>
    </row>
    <row r="118" spans="1:8" ht="24.75" customHeight="1">
      <c r="A118" s="674" t="s">
        <v>796</v>
      </c>
      <c r="B118" s="680"/>
      <c r="C118" s="676"/>
      <c r="D118" s="677"/>
      <c r="E118" s="670"/>
      <c r="F118" s="671"/>
      <c r="G118" s="678"/>
      <c r="H118" s="679"/>
    </row>
    <row r="119" spans="1:8" ht="24.75" customHeight="1" thickBot="1">
      <c r="A119" s="790"/>
      <c r="B119" s="791"/>
      <c r="C119" s="791"/>
      <c r="D119" s="792"/>
      <c r="E119" s="793"/>
      <c r="F119" s="794"/>
      <c r="G119" s="794"/>
      <c r="H119" s="795"/>
    </row>
    <row r="120" spans="1:8" ht="24" customHeight="1">
      <c r="A120" s="844"/>
      <c r="B120" s="845"/>
      <c r="C120" s="846"/>
      <c r="D120" s="847"/>
      <c r="E120" s="848"/>
      <c r="F120" s="849"/>
      <c r="G120" s="850"/>
      <c r="H120" s="851"/>
    </row>
    <row r="121" spans="1:8" ht="24" customHeight="1">
      <c r="A121" s="29" t="s">
        <v>457</v>
      </c>
      <c r="B121" s="29"/>
      <c r="C121" s="29"/>
      <c r="D121" s="29"/>
      <c r="E121" s="29" t="s">
        <v>458</v>
      </c>
      <c r="F121" s="29"/>
      <c r="G121" s="29"/>
      <c r="H121" s="29"/>
    </row>
    <row r="122" spans="1:8" ht="24.75" customHeight="1">
      <c r="A122" s="226" t="str">
        <f>A92</f>
        <v>經濟部水利署第十河川局</v>
      </c>
      <c r="B122" s="53"/>
      <c r="C122" s="53"/>
      <c r="D122" s="53"/>
      <c r="E122" s="53"/>
      <c r="F122" s="54"/>
      <c r="G122" s="54"/>
      <c r="H122" s="55"/>
    </row>
    <row r="123" spans="1:8" ht="24.75" customHeight="1">
      <c r="A123" s="412" t="str">
        <f>A93</f>
        <v>工 程 數 量 計 算 表(丙)</v>
      </c>
      <c r="B123" s="34"/>
      <c r="C123" s="34"/>
      <c r="D123" s="34"/>
      <c r="E123" s="34"/>
      <c r="F123" s="34"/>
      <c r="G123" s="34"/>
      <c r="H123" s="34"/>
    </row>
    <row r="124" spans="1:8" ht="31.5" customHeight="1">
      <c r="A124" s="1642" t="str">
        <f>A94</f>
        <v>工程名稱:基隆河整體治理計劃（前期計劃）瑞芳區塊介壽橋下游左右岸護岸工程</v>
      </c>
      <c r="B124" s="1642"/>
      <c r="C124" s="1642"/>
      <c r="D124" s="1642"/>
      <c r="E124" s="1642"/>
      <c r="F124" s="1642"/>
      <c r="G124" s="1642"/>
      <c r="H124" s="1642"/>
    </row>
    <row r="125" spans="1:8" ht="24.75" customHeight="1" thickBot="1">
      <c r="A125" s="1644" t="str">
        <f>A95</f>
        <v>施工地點：台北縣瑞芳鎮</v>
      </c>
      <c r="B125" s="1644"/>
      <c r="C125" s="1644"/>
      <c r="D125" s="1644"/>
      <c r="E125" s="212"/>
      <c r="F125" s="212"/>
      <c r="G125" s="35"/>
      <c r="H125" s="57" t="s">
        <v>1276</v>
      </c>
    </row>
    <row r="126" spans="1:8" ht="24" customHeight="1">
      <c r="A126" s="796" t="s">
        <v>920</v>
      </c>
      <c r="B126" s="797"/>
      <c r="C126" s="798"/>
      <c r="D126" s="799"/>
      <c r="E126" s="800"/>
      <c r="F126" s="801"/>
      <c r="G126" s="801"/>
      <c r="H126" s="802"/>
    </row>
    <row r="127" spans="1:8" ht="24" customHeight="1">
      <c r="A127" s="701" t="s">
        <v>369</v>
      </c>
      <c r="B127" s="690"/>
      <c r="C127" s="702"/>
      <c r="D127" s="703"/>
      <c r="E127" s="704"/>
      <c r="F127" s="683"/>
      <c r="G127" s="683"/>
      <c r="H127" s="705"/>
    </row>
    <row r="128" spans="1:8" ht="24" customHeight="1">
      <c r="A128" s="701" t="s">
        <v>720</v>
      </c>
      <c r="B128" s="690"/>
      <c r="C128" s="691"/>
      <c r="D128" s="692"/>
      <c r="E128" s="693"/>
      <c r="F128" s="693"/>
      <c r="G128" s="683"/>
      <c r="H128" s="684"/>
    </row>
    <row r="129" spans="1:8" ht="24" customHeight="1">
      <c r="A129" s="701" t="s">
        <v>370</v>
      </c>
      <c r="B129" s="680"/>
      <c r="C129" s="690"/>
      <c r="D129" s="706"/>
      <c r="E129" s="803"/>
      <c r="F129" s="689"/>
      <c r="G129" s="689"/>
      <c r="H129" s="707"/>
    </row>
    <row r="130" spans="1:8" ht="24" customHeight="1">
      <c r="A130" s="232"/>
      <c r="B130" s="39"/>
      <c r="C130" s="39"/>
      <c r="D130" s="229"/>
      <c r="E130" s="79"/>
      <c r="F130" s="80"/>
      <c r="G130" s="68"/>
      <c r="H130" s="42"/>
    </row>
    <row r="131" spans="1:8" ht="24" customHeight="1">
      <c r="A131" s="804" t="s">
        <v>921</v>
      </c>
      <c r="B131" s="805"/>
      <c r="C131" s="805"/>
      <c r="D131" s="805"/>
      <c r="E131" s="805"/>
      <c r="F131" s="805"/>
      <c r="G131" s="805"/>
      <c r="H131" s="806"/>
    </row>
    <row r="132" spans="1:8" ht="24" customHeight="1">
      <c r="A132" s="807" t="s">
        <v>872</v>
      </c>
      <c r="B132" s="805"/>
      <c r="C132" s="805"/>
      <c r="D132" s="805"/>
      <c r="E132" s="805"/>
      <c r="F132" s="805"/>
      <c r="G132" s="805"/>
      <c r="H132" s="806"/>
    </row>
    <row r="133" spans="1:8" ht="24" customHeight="1">
      <c r="A133" s="807" t="s">
        <v>873</v>
      </c>
      <c r="B133" s="805"/>
      <c r="C133" s="805"/>
      <c r="D133" s="805"/>
      <c r="E133" s="805"/>
      <c r="F133" s="805"/>
      <c r="G133" s="805"/>
      <c r="H133" s="806"/>
    </row>
    <row r="134" spans="1:8" ht="24" customHeight="1">
      <c r="A134" s="807" t="s">
        <v>874</v>
      </c>
      <c r="B134" s="805"/>
      <c r="C134" s="805"/>
      <c r="D134" s="805"/>
      <c r="E134" s="805"/>
      <c r="F134" s="805"/>
      <c r="G134" s="805"/>
      <c r="H134" s="806"/>
    </row>
    <row r="135" spans="1:8" ht="24" customHeight="1">
      <c r="A135" s="389"/>
      <c r="B135" s="403"/>
      <c r="C135" s="404"/>
      <c r="D135" s="405"/>
      <c r="E135" s="405"/>
      <c r="F135" s="405"/>
      <c r="G135" s="68"/>
      <c r="H135" s="42"/>
    </row>
    <row r="136" spans="1:8" ht="24" customHeight="1">
      <c r="A136" s="811" t="s">
        <v>922</v>
      </c>
      <c r="B136" s="812"/>
      <c r="C136" s="813"/>
      <c r="D136" s="642"/>
      <c r="E136" s="660"/>
      <c r="F136" s="660"/>
      <c r="G136" s="660"/>
      <c r="H136" s="661"/>
    </row>
    <row r="137" spans="1:8" ht="24" customHeight="1">
      <c r="A137" s="747" t="s">
        <v>878</v>
      </c>
      <c r="B137" s="695"/>
      <c r="C137" s="588"/>
      <c r="D137" s="642"/>
      <c r="E137" s="653"/>
      <c r="F137" s="660"/>
      <c r="G137" s="686"/>
      <c r="H137" s="663"/>
    </row>
    <row r="138" spans="1:8" ht="24" customHeight="1">
      <c r="A138" s="747" t="s">
        <v>879</v>
      </c>
      <c r="B138" s="695"/>
      <c r="C138" s="588"/>
      <c r="D138" s="642"/>
      <c r="E138" s="653"/>
      <c r="F138" s="660"/>
      <c r="G138" s="686"/>
      <c r="H138" s="814"/>
    </row>
    <row r="139" spans="1:8" ht="24" customHeight="1">
      <c r="A139" s="747" t="s">
        <v>880</v>
      </c>
      <c r="B139" s="815"/>
      <c r="C139" s="816"/>
      <c r="D139" s="642"/>
      <c r="E139" s="817"/>
      <c r="F139" s="660"/>
      <c r="G139" s="686"/>
      <c r="H139" s="684"/>
    </row>
    <row r="140" spans="1:8" ht="24" customHeight="1">
      <c r="A140" s="655" t="s">
        <v>881</v>
      </c>
      <c r="B140" s="656"/>
      <c r="C140" s="852"/>
      <c r="D140" s="853"/>
      <c r="E140" s="660"/>
      <c r="F140" s="817"/>
      <c r="G140" s="660"/>
      <c r="H140" s="654"/>
    </row>
    <row r="141" spans="1:8" ht="24" customHeight="1">
      <c r="A141" s="655"/>
      <c r="B141" s="656"/>
      <c r="C141" s="852"/>
      <c r="D141" s="853"/>
      <c r="E141" s="660"/>
      <c r="F141" s="817"/>
      <c r="G141" s="660"/>
      <c r="H141" s="654"/>
    </row>
    <row r="142" spans="1:8" ht="24" customHeight="1">
      <c r="A142" s="655" t="s">
        <v>367</v>
      </c>
      <c r="B142" s="656"/>
      <c r="C142" s="852"/>
      <c r="D142" s="853"/>
      <c r="E142" s="660"/>
      <c r="F142" s="817"/>
      <c r="G142" s="660"/>
      <c r="H142" s="654"/>
    </row>
    <row r="143" spans="1:8" ht="24" customHeight="1">
      <c r="A143" s="655" t="s">
        <v>358</v>
      </c>
      <c r="B143" s="656"/>
      <c r="C143" s="852"/>
      <c r="D143" s="853"/>
      <c r="E143" s="660"/>
      <c r="F143" s="817"/>
      <c r="G143" s="660"/>
      <c r="H143" s="654"/>
    </row>
    <row r="144" spans="1:8" ht="24" customHeight="1">
      <c r="A144" s="655" t="s">
        <v>359</v>
      </c>
      <c r="B144" s="656"/>
      <c r="C144" s="852"/>
      <c r="D144" s="853"/>
      <c r="E144" s="660"/>
      <c r="F144" s="817"/>
      <c r="G144" s="660"/>
      <c r="H144" s="654"/>
    </row>
    <row r="145" spans="1:8" ht="24" customHeight="1">
      <c r="A145" s="655" t="s">
        <v>360</v>
      </c>
      <c r="B145" s="656"/>
      <c r="C145" s="852"/>
      <c r="D145" s="853"/>
      <c r="E145" s="660"/>
      <c r="F145" s="817"/>
      <c r="G145" s="660"/>
      <c r="H145" s="654"/>
    </row>
    <row r="146" spans="1:8" ht="24" customHeight="1">
      <c r="A146" s="655"/>
      <c r="B146" s="656"/>
      <c r="C146" s="852"/>
      <c r="D146" s="853"/>
      <c r="E146" s="660"/>
      <c r="F146" s="817"/>
      <c r="G146" s="660"/>
      <c r="H146" s="654"/>
    </row>
    <row r="147" spans="1:8" ht="24" customHeight="1">
      <c r="A147" s="655" t="s">
        <v>361</v>
      </c>
      <c r="B147" s="656"/>
      <c r="C147" s="852"/>
      <c r="D147" s="853"/>
      <c r="E147" s="660"/>
      <c r="F147" s="817"/>
      <c r="G147" s="660"/>
      <c r="H147" s="654"/>
    </row>
    <row r="148" spans="1:8" ht="24" customHeight="1">
      <c r="A148" s="655" t="s">
        <v>372</v>
      </c>
      <c r="B148" s="656"/>
      <c r="C148" s="852"/>
      <c r="D148" s="853"/>
      <c r="E148" s="660"/>
      <c r="F148" s="817"/>
      <c r="G148" s="660"/>
      <c r="H148" s="654"/>
    </row>
    <row r="149" spans="1:8" ht="24" customHeight="1">
      <c r="A149" s="655" t="s">
        <v>373</v>
      </c>
      <c r="B149" s="656"/>
      <c r="C149" s="852"/>
      <c r="D149" s="853"/>
      <c r="E149" s="660"/>
      <c r="F149" s="817"/>
      <c r="G149" s="660"/>
      <c r="H149" s="654"/>
    </row>
    <row r="150" spans="1:8" ht="24" customHeight="1" thickBot="1">
      <c r="A150" s="1202" t="s">
        <v>374</v>
      </c>
      <c r="B150" s="1203"/>
      <c r="C150" s="1204"/>
      <c r="D150" s="1205"/>
      <c r="E150" s="1206"/>
      <c r="F150" s="1207"/>
      <c r="G150" s="1206"/>
      <c r="H150" s="1208"/>
    </row>
    <row r="151" spans="1:8" ht="24" customHeight="1">
      <c r="A151" s="844"/>
      <c r="B151" s="845"/>
      <c r="C151" s="846"/>
      <c r="D151" s="847"/>
      <c r="E151" s="848"/>
      <c r="F151" s="849"/>
      <c r="G151" s="850"/>
      <c r="H151" s="851"/>
    </row>
    <row r="152" spans="1:8" ht="24" customHeight="1">
      <c r="A152" s="29" t="s">
        <v>457</v>
      </c>
      <c r="B152" s="29"/>
      <c r="C152" s="29"/>
      <c r="D152" s="29"/>
      <c r="E152" s="29" t="s">
        <v>458</v>
      </c>
      <c r="F152" s="29"/>
      <c r="G152" s="29"/>
      <c r="H152" s="29"/>
    </row>
    <row r="153" spans="1:8" ht="24.75" customHeight="1">
      <c r="A153" s="226" t="str">
        <f>A122</f>
        <v>經濟部水利署第十河川局</v>
      </c>
      <c r="B153" s="53"/>
      <c r="C153" s="53"/>
      <c r="D153" s="53"/>
      <c r="E153" s="53"/>
      <c r="F153" s="54"/>
      <c r="G153" s="54"/>
      <c r="H153" s="55"/>
    </row>
    <row r="154" spans="1:8" ht="24.75" customHeight="1">
      <c r="A154" s="412" t="str">
        <f>A123</f>
        <v>工 程 數 量 計 算 表(丙)</v>
      </c>
      <c r="B154" s="34"/>
      <c r="C154" s="34"/>
      <c r="D154" s="34"/>
      <c r="E154" s="34"/>
      <c r="F154" s="34"/>
      <c r="G154" s="34"/>
      <c r="H154" s="34"/>
    </row>
    <row r="155" spans="1:8" ht="31.5" customHeight="1">
      <c r="A155" s="1642" t="str">
        <f>A124</f>
        <v>工程名稱:基隆河整體治理計劃（前期計劃）瑞芳區塊介壽橋下游左右岸護岸工程</v>
      </c>
      <c r="B155" s="1642"/>
      <c r="C155" s="1642"/>
      <c r="D155" s="1642"/>
      <c r="E155" s="1642"/>
      <c r="F155" s="1642"/>
      <c r="G155" s="1642"/>
      <c r="H155" s="1642"/>
    </row>
    <row r="156" spans="1:8" ht="24.75" customHeight="1" thickBot="1">
      <c r="A156" s="1643" t="str">
        <f>A125</f>
        <v>施工地點：台北縣瑞芳鎮</v>
      </c>
      <c r="B156" s="1643"/>
      <c r="C156" s="1643"/>
      <c r="D156" s="1643"/>
      <c r="E156" s="212"/>
      <c r="F156" s="212"/>
      <c r="G156" s="35"/>
      <c r="H156" s="57" t="s">
        <v>1275</v>
      </c>
    </row>
    <row r="157" spans="1:8" ht="24.75" customHeight="1">
      <c r="A157" s="1209" t="s">
        <v>362</v>
      </c>
      <c r="B157" s="1210"/>
      <c r="C157" s="1211"/>
      <c r="D157" s="1212"/>
      <c r="E157" s="1213"/>
      <c r="F157" s="1214"/>
      <c r="G157" s="1213"/>
      <c r="H157" s="1215"/>
    </row>
    <row r="158" spans="1:8" ht="24.75" customHeight="1">
      <c r="A158" s="655" t="s">
        <v>363</v>
      </c>
      <c r="B158" s="656"/>
      <c r="C158" s="852"/>
      <c r="D158" s="853"/>
      <c r="E158" s="660"/>
      <c r="F158" s="817"/>
      <c r="G158" s="660"/>
      <c r="H158" s="654"/>
    </row>
    <row r="159" spans="1:8" ht="24.75" customHeight="1">
      <c r="A159" s="655" t="s">
        <v>364</v>
      </c>
      <c r="B159" s="656"/>
      <c r="C159" s="852"/>
      <c r="D159" s="853"/>
      <c r="E159" s="660"/>
      <c r="F159" s="817"/>
      <c r="G159" s="660"/>
      <c r="H159" s="654"/>
    </row>
    <row r="160" spans="1:8" ht="24.75" customHeight="1">
      <c r="A160" s="655" t="s">
        <v>365</v>
      </c>
      <c r="B160" s="656"/>
      <c r="C160" s="852"/>
      <c r="D160" s="853"/>
      <c r="E160" s="660"/>
      <c r="F160" s="817"/>
      <c r="G160" s="660"/>
      <c r="H160" s="654"/>
    </row>
    <row r="161" spans="1:8" ht="24.75" customHeight="1">
      <c r="A161" s="655" t="s">
        <v>366</v>
      </c>
      <c r="B161" s="656"/>
      <c r="C161" s="852"/>
      <c r="D161" s="853"/>
      <c r="E161" s="660"/>
      <c r="F161" s="817"/>
      <c r="G161" s="660"/>
      <c r="H161" s="654"/>
    </row>
    <row r="162" spans="1:8" ht="24.75" customHeight="1">
      <c r="A162" s="655"/>
      <c r="B162" s="656"/>
      <c r="C162" s="852"/>
      <c r="D162" s="853"/>
      <c r="E162" s="660"/>
      <c r="F162" s="817"/>
      <c r="G162" s="660"/>
      <c r="H162" s="654"/>
    </row>
    <row r="163" spans="1:8" ht="24.75" customHeight="1">
      <c r="A163" s="655"/>
      <c r="B163" s="656"/>
      <c r="C163" s="852"/>
      <c r="D163" s="853"/>
      <c r="E163" s="660"/>
      <c r="F163" s="817"/>
      <c r="G163" s="660"/>
      <c r="H163" s="654"/>
    </row>
    <row r="164" spans="1:8" ht="24.75" customHeight="1">
      <c r="A164" s="655"/>
      <c r="B164" s="656"/>
      <c r="C164" s="852"/>
      <c r="D164" s="853"/>
      <c r="E164" s="660"/>
      <c r="F164" s="817"/>
      <c r="G164" s="660"/>
      <c r="H164" s="654"/>
    </row>
    <row r="165" spans="1:8" ht="24.75" customHeight="1">
      <c r="A165" s="655"/>
      <c r="B165" s="656"/>
      <c r="C165" s="852"/>
      <c r="D165" s="853"/>
      <c r="E165" s="660"/>
      <c r="F165" s="817"/>
      <c r="G165" s="660"/>
      <c r="H165" s="654"/>
    </row>
    <row r="166" spans="1:8" ht="24.75" customHeight="1">
      <c r="A166" s="655"/>
      <c r="B166" s="656"/>
      <c r="C166" s="852"/>
      <c r="D166" s="853"/>
      <c r="E166" s="660"/>
      <c r="F166" s="817"/>
      <c r="G166" s="660"/>
      <c r="H166" s="654"/>
    </row>
    <row r="167" spans="1:8" ht="24.75" customHeight="1">
      <c r="A167" s="655"/>
      <c r="B167" s="656"/>
      <c r="C167" s="852"/>
      <c r="D167" s="853"/>
      <c r="E167" s="660"/>
      <c r="F167" s="817"/>
      <c r="G167" s="660"/>
      <c r="H167" s="654"/>
    </row>
    <row r="168" spans="1:8" ht="24.75" customHeight="1">
      <c r="A168" s="655"/>
      <c r="B168" s="656"/>
      <c r="C168" s="852"/>
      <c r="D168" s="853"/>
      <c r="E168" s="660"/>
      <c r="F168" s="817"/>
      <c r="G168" s="660"/>
      <c r="H168" s="654"/>
    </row>
    <row r="169" spans="1:8" ht="24.75" customHeight="1">
      <c r="A169" s="655"/>
      <c r="B169" s="656"/>
      <c r="C169" s="852"/>
      <c r="D169" s="853"/>
      <c r="E169" s="660"/>
      <c r="F169" s="817"/>
      <c r="G169" s="660"/>
      <c r="H169" s="654"/>
    </row>
    <row r="170" spans="1:8" ht="24.75" customHeight="1">
      <c r="A170" s="655"/>
      <c r="B170" s="656"/>
      <c r="C170" s="852"/>
      <c r="D170" s="853"/>
      <c r="E170" s="660"/>
      <c r="F170" s="817"/>
      <c r="G170" s="660"/>
      <c r="H170" s="654"/>
    </row>
    <row r="171" spans="1:8" ht="24.75" customHeight="1">
      <c r="A171" s="655"/>
      <c r="B171" s="656"/>
      <c r="C171" s="852"/>
      <c r="D171" s="853"/>
      <c r="E171" s="660"/>
      <c r="F171" s="817"/>
      <c r="G171" s="660"/>
      <c r="H171" s="654"/>
    </row>
    <row r="172" spans="1:8" ht="24.75" customHeight="1">
      <c r="A172" s="655"/>
      <c r="B172" s="656"/>
      <c r="C172" s="852"/>
      <c r="D172" s="853"/>
      <c r="E172" s="660"/>
      <c r="F172" s="817"/>
      <c r="G172" s="660"/>
      <c r="H172" s="654"/>
    </row>
    <row r="173" spans="1:8" ht="24.75" customHeight="1">
      <c r="A173" s="655"/>
      <c r="B173" s="656"/>
      <c r="C173" s="852"/>
      <c r="D173" s="853"/>
      <c r="E173" s="660"/>
      <c r="F173" s="817"/>
      <c r="G173" s="660"/>
      <c r="H173" s="654"/>
    </row>
    <row r="174" spans="1:8" ht="24.75" customHeight="1">
      <c r="A174" s="655"/>
      <c r="B174" s="656"/>
      <c r="C174" s="852"/>
      <c r="D174" s="853"/>
      <c r="E174" s="660"/>
      <c r="F174" s="817"/>
      <c r="G174" s="660"/>
      <c r="H174" s="654"/>
    </row>
    <row r="175" spans="1:8" ht="24.75" customHeight="1">
      <c r="A175" s="655"/>
      <c r="B175" s="656"/>
      <c r="C175" s="852"/>
      <c r="D175" s="853"/>
      <c r="E175" s="660"/>
      <c r="F175" s="817"/>
      <c r="G175" s="660"/>
      <c r="H175" s="654"/>
    </row>
    <row r="176" spans="1:8" ht="24.75" customHeight="1">
      <c r="A176" s="655"/>
      <c r="B176" s="656"/>
      <c r="C176" s="852"/>
      <c r="D176" s="853"/>
      <c r="E176" s="660"/>
      <c r="F176" s="817"/>
      <c r="G176" s="660"/>
      <c r="H176" s="654"/>
    </row>
    <row r="177" spans="1:8" ht="24.75" customHeight="1">
      <c r="A177" s="655"/>
      <c r="B177" s="656"/>
      <c r="C177" s="852"/>
      <c r="D177" s="853"/>
      <c r="E177" s="660"/>
      <c r="F177" s="817"/>
      <c r="G177" s="660"/>
      <c r="H177" s="654"/>
    </row>
    <row r="178" spans="1:8" ht="24.75" customHeight="1">
      <c r="A178" s="655"/>
      <c r="B178" s="656"/>
      <c r="C178" s="852"/>
      <c r="D178" s="853"/>
      <c r="E178" s="660"/>
      <c r="F178" s="817"/>
      <c r="G178" s="660"/>
      <c r="H178" s="654"/>
    </row>
    <row r="179" spans="1:8" ht="24.75" customHeight="1">
      <c r="A179" s="655"/>
      <c r="B179" s="656"/>
      <c r="C179" s="852"/>
      <c r="D179" s="853"/>
      <c r="E179" s="660"/>
      <c r="F179" s="817"/>
      <c r="G179" s="660"/>
      <c r="H179" s="654"/>
    </row>
    <row r="180" spans="1:8" ht="24.75" customHeight="1" thickBot="1">
      <c r="A180" s="1202"/>
      <c r="B180" s="1203"/>
      <c r="C180" s="1204"/>
      <c r="D180" s="1205"/>
      <c r="E180" s="1206"/>
      <c r="F180" s="1207"/>
      <c r="G180" s="1206"/>
      <c r="H180" s="1208"/>
    </row>
    <row r="181" spans="1:8" ht="24.75" customHeight="1">
      <c r="A181" s="844"/>
      <c r="B181" s="845"/>
      <c r="C181" s="846"/>
      <c r="D181" s="847"/>
      <c r="E181" s="848"/>
      <c r="F181" s="849"/>
      <c r="G181" s="850"/>
      <c r="H181" s="851"/>
    </row>
    <row r="182" spans="1:8" ht="24.75" customHeight="1">
      <c r="A182" s="29" t="s">
        <v>457</v>
      </c>
      <c r="B182" s="29"/>
      <c r="C182" s="29"/>
      <c r="D182" s="29"/>
      <c r="E182" s="29" t="s">
        <v>458</v>
      </c>
      <c r="F182" s="29"/>
      <c r="G182" s="29"/>
      <c r="H182" s="29"/>
    </row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</sheetData>
  <mergeCells count="20">
    <mergeCell ref="A3:H3"/>
    <mergeCell ref="A65:D65"/>
    <mergeCell ref="A4:D4"/>
    <mergeCell ref="A67:F67"/>
    <mergeCell ref="A116:H116"/>
    <mergeCell ref="A111:H111"/>
    <mergeCell ref="A95:D95"/>
    <mergeCell ref="A34:H34"/>
    <mergeCell ref="A68:F68"/>
    <mergeCell ref="A69:H69"/>
    <mergeCell ref="A155:H155"/>
    <mergeCell ref="A156:D156"/>
    <mergeCell ref="A125:D125"/>
    <mergeCell ref="A35:D35"/>
    <mergeCell ref="A56:H56"/>
    <mergeCell ref="A76:E76"/>
    <mergeCell ref="A55:F55"/>
    <mergeCell ref="A64:G64"/>
    <mergeCell ref="A124:H124"/>
    <mergeCell ref="A94:H94"/>
  </mergeCells>
  <printOptions horizontalCentered="1"/>
  <pageMargins left="0.5511811023622047" right="0.5511811023622047" top="0.5905511811023623" bottom="0.905511811023622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IV1091"/>
  <sheetViews>
    <sheetView showGridLines="0" view="pageBreakPreview" zoomScaleSheetLayoutView="100" workbookViewId="0" topLeftCell="A175">
      <selection activeCell="E299" sqref="E299"/>
    </sheetView>
  </sheetViews>
  <sheetFormatPr defaultColWidth="9.00390625" defaultRowHeight="16.5"/>
  <cols>
    <col min="1" max="1" width="5.375" style="469" customWidth="1"/>
    <col min="2" max="2" width="18.625" style="495" customWidth="1"/>
    <col min="3" max="3" width="5.125" style="469" customWidth="1"/>
    <col min="4" max="4" width="33.75390625" style="493" customWidth="1"/>
    <col min="5" max="5" width="7.625" style="494" customWidth="1"/>
    <col min="6" max="6" width="16.875" style="496" customWidth="1"/>
    <col min="7" max="7" width="15.875" style="222" customWidth="1"/>
    <col min="8" max="16384" width="9.00390625" style="222" customWidth="1"/>
  </cols>
  <sheetData>
    <row r="1" spans="1:6" s="469" customFormat="1" ht="23.25" customHeight="1">
      <c r="A1" s="1659" t="str">
        <f>data!K1</f>
        <v>經濟部水利署第十河川局</v>
      </c>
      <c r="B1" s="1659"/>
      <c r="C1" s="1659"/>
      <c r="D1" s="1659"/>
      <c r="E1" s="1659"/>
      <c r="F1" s="1659"/>
    </row>
    <row r="2" spans="1:6" s="469" customFormat="1" ht="23.25" customHeight="1">
      <c r="A2" s="1659" t="s">
        <v>307</v>
      </c>
      <c r="B2" s="1659"/>
      <c r="C2" s="1659"/>
      <c r="D2" s="1659"/>
      <c r="E2" s="1659"/>
      <c r="F2" s="1659"/>
    </row>
    <row r="3" spans="1:6" s="469" customFormat="1" ht="23.25" customHeight="1">
      <c r="A3" s="1658" t="str">
        <f>'預算書總表'!A3</f>
        <v>工程名稱:基隆河整體治理計劃（前期計劃）瑞芳區塊介壽橋下游左右岸護岸工程</v>
      </c>
      <c r="B3" s="1658"/>
      <c r="C3" s="1658"/>
      <c r="D3" s="1658"/>
      <c r="E3" s="1658"/>
      <c r="F3" s="1658"/>
    </row>
    <row r="4" spans="1:6" s="469" customFormat="1" ht="23.25" customHeight="1" thickBot="1">
      <c r="A4" s="1664" t="str">
        <f>'預算書總表'!A4</f>
        <v>施工地點：台北縣瑞芳鎮</v>
      </c>
      <c r="B4" s="1664"/>
      <c r="C4" s="1664"/>
      <c r="D4" s="501"/>
      <c r="E4" s="1661" t="s">
        <v>309</v>
      </c>
      <c r="F4" s="1661"/>
    </row>
    <row r="5" spans="1:6" s="469" customFormat="1" ht="23.25" customHeight="1">
      <c r="A5" s="497" t="s">
        <v>478</v>
      </c>
      <c r="B5" s="498" t="s">
        <v>442</v>
      </c>
      <c r="C5" s="498" t="s">
        <v>439</v>
      </c>
      <c r="D5" s="498" t="s">
        <v>479</v>
      </c>
      <c r="E5" s="499" t="s">
        <v>440</v>
      </c>
      <c r="F5" s="500" t="s">
        <v>423</v>
      </c>
    </row>
    <row r="6" spans="1:6" s="469" customFormat="1" ht="23.25" customHeight="1">
      <c r="A6" s="502">
        <v>1</v>
      </c>
      <c r="B6" s="402" t="str">
        <f>'第一號明細表'!A7</f>
        <v>純挖方</v>
      </c>
      <c r="C6" s="279" t="str">
        <f>'第一號明細表'!C7</f>
        <v>m3</v>
      </c>
      <c r="D6" s="1355" t="s">
        <v>660</v>
      </c>
      <c r="E6" s="242">
        <v>43452</v>
      </c>
      <c r="F6" s="1226" t="s">
        <v>682</v>
      </c>
    </row>
    <row r="7" spans="1:6" s="469" customFormat="1" ht="23.25" customHeight="1">
      <c r="A7" s="502"/>
      <c r="B7" s="402"/>
      <c r="C7" s="279"/>
      <c r="D7" s="1355"/>
      <c r="E7" s="242"/>
      <c r="F7" s="1226"/>
    </row>
    <row r="8" spans="1:6" s="469" customFormat="1" ht="23.25" customHeight="1">
      <c r="A8" s="502">
        <v>2</v>
      </c>
      <c r="B8" s="402" t="str">
        <f>'第一號明細表'!A8</f>
        <v>回填方</v>
      </c>
      <c r="C8" s="279" t="str">
        <f>'第一號明細表'!C8</f>
        <v>m3</v>
      </c>
      <c r="D8" s="1355" t="s">
        <v>1425</v>
      </c>
      <c r="E8" s="242">
        <v>30964</v>
      </c>
      <c r="F8" s="1226" t="s">
        <v>682</v>
      </c>
    </row>
    <row r="9" spans="1:6" s="469" customFormat="1" ht="23.25" customHeight="1">
      <c r="A9" s="502"/>
      <c r="B9" s="402"/>
      <c r="C9" s="279"/>
      <c r="D9" s="1355"/>
      <c r="E9" s="242"/>
      <c r="F9" s="1226"/>
    </row>
    <row r="10" spans="1:6" s="469" customFormat="1" ht="23.25" customHeight="1">
      <c r="A10" s="502">
        <v>3</v>
      </c>
      <c r="B10" s="402" t="str">
        <f>'第一號明細表'!A9</f>
        <v>挖填方</v>
      </c>
      <c r="C10" s="279" t="str">
        <f>'第一號明細表'!C9</f>
        <v>m3</v>
      </c>
      <c r="D10" s="1355" t="s">
        <v>1425</v>
      </c>
      <c r="E10" s="242">
        <v>15017</v>
      </c>
      <c r="F10" s="1226" t="s">
        <v>682</v>
      </c>
    </row>
    <row r="11" spans="1:6" s="469" customFormat="1" ht="23.25" customHeight="1">
      <c r="A11" s="502"/>
      <c r="B11" s="402"/>
      <c r="C11" s="279"/>
      <c r="D11" s="1355"/>
      <c r="E11" s="242"/>
      <c r="F11" s="1226"/>
    </row>
    <row r="12" spans="1:6" s="469" customFormat="1" ht="23.25" customHeight="1">
      <c r="A12" s="502">
        <v>4</v>
      </c>
      <c r="B12" s="402" t="s">
        <v>909</v>
      </c>
      <c r="C12" s="279" t="str">
        <f>'第一號明細表'!C10</f>
        <v>m3</v>
      </c>
      <c r="D12" s="1355" t="s">
        <v>1425</v>
      </c>
      <c r="E12" s="242">
        <v>1800</v>
      </c>
      <c r="F12" s="1226" t="s">
        <v>682</v>
      </c>
    </row>
    <row r="13" spans="1:6" s="469" customFormat="1" ht="23.25" customHeight="1">
      <c r="A13" s="502"/>
      <c r="B13" s="402"/>
      <c r="C13" s="279"/>
      <c r="D13" s="1355"/>
      <c r="E13" s="242"/>
      <c r="F13" s="1226"/>
    </row>
    <row r="14" spans="1:6" s="469" customFormat="1" ht="23.25" customHeight="1">
      <c r="A14" s="502">
        <v>5</v>
      </c>
      <c r="B14" s="402" t="s">
        <v>910</v>
      </c>
      <c r="C14" s="279" t="str">
        <f>'第一號明細表'!C12</f>
        <v>m3</v>
      </c>
      <c r="D14" s="1355" t="s">
        <v>1425</v>
      </c>
      <c r="E14" s="242">
        <v>14288</v>
      </c>
      <c r="F14" s="1226" t="s">
        <v>682</v>
      </c>
    </row>
    <row r="15" spans="1:6" s="469" customFormat="1" ht="23.25" customHeight="1">
      <c r="A15" s="502"/>
      <c r="B15" s="402"/>
      <c r="C15" s="279"/>
      <c r="D15" s="1355"/>
      <c r="E15" s="242"/>
      <c r="F15" s="1226"/>
    </row>
    <row r="16" spans="1:6" s="469" customFormat="1" ht="23.25" customHeight="1">
      <c r="A16" s="502">
        <v>6</v>
      </c>
      <c r="B16" s="402" t="str">
        <f>'第一號明細表'!A12</f>
        <v>210kgf/cm^2預拌混凝土   'G≦1",S=4"</v>
      </c>
      <c r="C16" s="279" t="str">
        <f>'第一號明細表'!C12</f>
        <v>m3</v>
      </c>
      <c r="D16" s="1355" t="s">
        <v>1426</v>
      </c>
      <c r="E16" s="242">
        <f>3900.1+3122+2011.2+1663.2+1243.2+926.8+101.8+6793+23.8+4+1367+120+8.75</f>
        <v>21285</v>
      </c>
      <c r="F16" s="1226" t="s">
        <v>217</v>
      </c>
    </row>
    <row r="17" spans="1:6" s="469" customFormat="1" ht="23.25" customHeight="1">
      <c r="A17" s="502"/>
      <c r="B17" s="402"/>
      <c r="C17" s="279"/>
      <c r="D17" s="1355" t="s">
        <v>1427</v>
      </c>
      <c r="E17" s="242"/>
      <c r="F17" s="1226" t="s">
        <v>216</v>
      </c>
    </row>
    <row r="18" spans="1:6" s="469" customFormat="1" ht="23.25" customHeight="1">
      <c r="A18" s="502"/>
      <c r="B18" s="402"/>
      <c r="C18" s="279"/>
      <c r="D18" s="1355" t="s">
        <v>1428</v>
      </c>
      <c r="E18" s="242"/>
      <c r="F18" s="1226" t="s">
        <v>215</v>
      </c>
    </row>
    <row r="19" spans="1:6" s="469" customFormat="1" ht="23.25" customHeight="1">
      <c r="A19" s="502"/>
      <c r="B19" s="402"/>
      <c r="C19" s="279"/>
      <c r="D19" s="1355" t="s">
        <v>1429</v>
      </c>
      <c r="E19" s="242"/>
      <c r="F19" s="1226" t="s">
        <v>214</v>
      </c>
    </row>
    <row r="20" spans="1:6" s="469" customFormat="1" ht="23.25" customHeight="1">
      <c r="A20" s="502"/>
      <c r="B20" s="402"/>
      <c r="C20" s="279"/>
      <c r="D20" s="1355" t="s">
        <v>1430</v>
      </c>
      <c r="E20" s="242"/>
      <c r="F20" s="1226" t="s">
        <v>213</v>
      </c>
    </row>
    <row r="21" spans="1:6" s="469" customFormat="1" ht="23.25" customHeight="1">
      <c r="A21" s="502"/>
      <c r="B21" s="402"/>
      <c r="C21" s="279"/>
      <c r="D21" s="1355" t="s">
        <v>1431</v>
      </c>
      <c r="E21" s="242"/>
      <c r="F21" s="1226" t="s">
        <v>212</v>
      </c>
    </row>
    <row r="22" spans="1:6" s="469" customFormat="1" ht="23.25" customHeight="1">
      <c r="A22" s="502"/>
      <c r="B22" s="402"/>
      <c r="C22" s="279"/>
      <c r="D22" s="1355" t="s">
        <v>1432</v>
      </c>
      <c r="E22" s="242"/>
      <c r="F22" s="1226" t="s">
        <v>1400</v>
      </c>
    </row>
    <row r="23" spans="1:6" s="469" customFormat="1" ht="23.25" customHeight="1">
      <c r="A23" s="502"/>
      <c r="B23" s="402"/>
      <c r="C23" s="279"/>
      <c r="D23" s="1355" t="s">
        <v>1433</v>
      </c>
      <c r="E23" s="242"/>
      <c r="F23" s="1226" t="s">
        <v>1399</v>
      </c>
    </row>
    <row r="24" spans="1:6" s="469" customFormat="1" ht="23.25" customHeight="1">
      <c r="A24" s="502"/>
      <c r="B24" s="402"/>
      <c r="C24" s="279"/>
      <c r="D24" s="1356" t="s">
        <v>1437</v>
      </c>
      <c r="E24" s="242"/>
      <c r="F24" s="1226" t="s">
        <v>1339</v>
      </c>
    </row>
    <row r="25" spans="1:6" s="469" customFormat="1" ht="23.25" customHeight="1">
      <c r="A25" s="502"/>
      <c r="B25" s="402"/>
      <c r="C25" s="279"/>
      <c r="D25" s="1355" t="s">
        <v>1434</v>
      </c>
      <c r="E25" s="242"/>
      <c r="F25" s="1226" t="s">
        <v>1340</v>
      </c>
    </row>
    <row r="26" spans="1:6" s="469" customFormat="1" ht="23.25" customHeight="1">
      <c r="A26" s="502"/>
      <c r="B26" s="402"/>
      <c r="C26" s="279"/>
      <c r="D26" s="1356" t="s">
        <v>1438</v>
      </c>
      <c r="E26" s="242"/>
      <c r="F26" s="1226" t="s">
        <v>1316</v>
      </c>
    </row>
    <row r="27" spans="1:6" s="469" customFormat="1" ht="23.25" customHeight="1">
      <c r="A27" s="502"/>
      <c r="B27" s="402"/>
      <c r="C27" s="279"/>
      <c r="D27" s="1355" t="s">
        <v>1435</v>
      </c>
      <c r="E27" s="242"/>
      <c r="F27" s="1226" t="s">
        <v>1317</v>
      </c>
    </row>
    <row r="28" spans="1:6" s="469" customFormat="1" ht="23.25" customHeight="1">
      <c r="A28" s="502"/>
      <c r="B28" s="402"/>
      <c r="C28" s="279"/>
      <c r="D28" s="1662" t="s">
        <v>1436</v>
      </c>
      <c r="E28" s="242"/>
      <c r="F28" s="1226" t="s">
        <v>312</v>
      </c>
    </row>
    <row r="29" spans="1:6" s="469" customFormat="1" ht="23.25" customHeight="1" thickBot="1">
      <c r="A29" s="863"/>
      <c r="B29" s="1216"/>
      <c r="C29" s="734"/>
      <c r="D29" s="1663"/>
      <c r="E29" s="735"/>
      <c r="F29" s="1302"/>
    </row>
    <row r="30" spans="1:256" s="469" customFormat="1" ht="23.25" customHeight="1">
      <c r="A30" s="844"/>
      <c r="B30" s="845"/>
      <c r="C30" s="846"/>
      <c r="D30" s="847"/>
      <c r="E30" s="848"/>
      <c r="F30" s="849"/>
      <c r="G30" s="850"/>
      <c r="H30" s="851"/>
      <c r="I30" s="844"/>
      <c r="J30" s="845"/>
      <c r="K30" s="846"/>
      <c r="L30" s="847"/>
      <c r="M30" s="848"/>
      <c r="N30" s="849"/>
      <c r="O30" s="850"/>
      <c r="P30" s="851"/>
      <c r="Q30" s="844"/>
      <c r="R30" s="845"/>
      <c r="S30" s="846"/>
      <c r="T30" s="847"/>
      <c r="U30" s="848"/>
      <c r="V30" s="849"/>
      <c r="W30" s="850"/>
      <c r="X30" s="851"/>
      <c r="Y30" s="844"/>
      <c r="Z30" s="845"/>
      <c r="AA30" s="846"/>
      <c r="AB30" s="847"/>
      <c r="AC30" s="848"/>
      <c r="AD30" s="849"/>
      <c r="AE30" s="850"/>
      <c r="AF30" s="851"/>
      <c r="AG30" s="844"/>
      <c r="AH30" s="845"/>
      <c r="AI30" s="846"/>
      <c r="AJ30" s="847"/>
      <c r="AK30" s="848"/>
      <c r="AL30" s="849"/>
      <c r="AM30" s="850"/>
      <c r="AN30" s="851"/>
      <c r="AO30" s="844"/>
      <c r="AP30" s="845"/>
      <c r="AQ30" s="846"/>
      <c r="AR30" s="847"/>
      <c r="AS30" s="848"/>
      <c r="AT30" s="849"/>
      <c r="AU30" s="850"/>
      <c r="AV30" s="851"/>
      <c r="AW30" s="844"/>
      <c r="AX30" s="845"/>
      <c r="AY30" s="846"/>
      <c r="AZ30" s="847"/>
      <c r="BA30" s="848"/>
      <c r="BB30" s="849"/>
      <c r="BC30" s="850"/>
      <c r="BD30" s="851"/>
      <c r="BE30" s="844"/>
      <c r="BF30" s="845"/>
      <c r="BG30" s="846"/>
      <c r="BH30" s="847"/>
      <c r="BI30" s="848"/>
      <c r="BJ30" s="849"/>
      <c r="BK30" s="850"/>
      <c r="BL30" s="851"/>
      <c r="BM30" s="844"/>
      <c r="BN30" s="845"/>
      <c r="BO30" s="846"/>
      <c r="BP30" s="847"/>
      <c r="BQ30" s="848"/>
      <c r="BR30" s="849"/>
      <c r="BS30" s="850"/>
      <c r="BT30" s="851"/>
      <c r="BU30" s="844"/>
      <c r="BV30" s="845"/>
      <c r="BW30" s="846"/>
      <c r="BX30" s="847"/>
      <c r="BY30" s="848"/>
      <c r="BZ30" s="849"/>
      <c r="CA30" s="850"/>
      <c r="CB30" s="851"/>
      <c r="CC30" s="844"/>
      <c r="CD30" s="845"/>
      <c r="CE30" s="846"/>
      <c r="CF30" s="847"/>
      <c r="CG30" s="848"/>
      <c r="CH30" s="849"/>
      <c r="CI30" s="850"/>
      <c r="CJ30" s="851"/>
      <c r="CK30" s="844"/>
      <c r="CL30" s="845"/>
      <c r="CM30" s="846"/>
      <c r="CN30" s="847"/>
      <c r="CO30" s="848"/>
      <c r="CP30" s="849"/>
      <c r="CQ30" s="850"/>
      <c r="CR30" s="851"/>
      <c r="CS30" s="844"/>
      <c r="CT30" s="845"/>
      <c r="CU30" s="846"/>
      <c r="CV30" s="847"/>
      <c r="CW30" s="848"/>
      <c r="CX30" s="849"/>
      <c r="CY30" s="850"/>
      <c r="CZ30" s="851"/>
      <c r="DA30" s="844"/>
      <c r="DB30" s="845"/>
      <c r="DC30" s="846"/>
      <c r="DD30" s="847"/>
      <c r="DE30" s="848"/>
      <c r="DF30" s="849"/>
      <c r="DG30" s="850"/>
      <c r="DH30" s="851"/>
      <c r="DI30" s="844"/>
      <c r="DJ30" s="845"/>
      <c r="DK30" s="846"/>
      <c r="DL30" s="847"/>
      <c r="DM30" s="848"/>
      <c r="DN30" s="849"/>
      <c r="DO30" s="850"/>
      <c r="DP30" s="851"/>
      <c r="DQ30" s="844"/>
      <c r="DR30" s="845"/>
      <c r="DS30" s="846"/>
      <c r="DT30" s="847"/>
      <c r="DU30" s="848"/>
      <c r="DV30" s="849"/>
      <c r="DW30" s="850"/>
      <c r="DX30" s="851"/>
      <c r="DY30" s="844"/>
      <c r="DZ30" s="845"/>
      <c r="EA30" s="846"/>
      <c r="EB30" s="847"/>
      <c r="EC30" s="848"/>
      <c r="ED30" s="849"/>
      <c r="EE30" s="850"/>
      <c r="EF30" s="851"/>
      <c r="EG30" s="844"/>
      <c r="EH30" s="845"/>
      <c r="EI30" s="846"/>
      <c r="EJ30" s="847"/>
      <c r="EK30" s="848"/>
      <c r="EL30" s="849"/>
      <c r="EM30" s="850"/>
      <c r="EN30" s="851"/>
      <c r="EO30" s="844"/>
      <c r="EP30" s="845"/>
      <c r="EQ30" s="846"/>
      <c r="ER30" s="847"/>
      <c r="ES30" s="848"/>
      <c r="ET30" s="849"/>
      <c r="EU30" s="850"/>
      <c r="EV30" s="851"/>
      <c r="EW30" s="844"/>
      <c r="EX30" s="845"/>
      <c r="EY30" s="846"/>
      <c r="EZ30" s="847"/>
      <c r="FA30" s="848"/>
      <c r="FB30" s="849"/>
      <c r="FC30" s="850"/>
      <c r="FD30" s="851"/>
      <c r="FE30" s="844"/>
      <c r="FF30" s="845"/>
      <c r="FG30" s="846"/>
      <c r="FH30" s="847"/>
      <c r="FI30" s="848"/>
      <c r="FJ30" s="849"/>
      <c r="FK30" s="850"/>
      <c r="FL30" s="851"/>
      <c r="FM30" s="844"/>
      <c r="FN30" s="845"/>
      <c r="FO30" s="846"/>
      <c r="FP30" s="847"/>
      <c r="FQ30" s="848"/>
      <c r="FR30" s="849"/>
      <c r="FS30" s="850"/>
      <c r="FT30" s="851"/>
      <c r="FU30" s="844"/>
      <c r="FV30" s="845"/>
      <c r="FW30" s="846"/>
      <c r="FX30" s="847"/>
      <c r="FY30" s="848"/>
      <c r="FZ30" s="849"/>
      <c r="GA30" s="850"/>
      <c r="GB30" s="851"/>
      <c r="GC30" s="844"/>
      <c r="GD30" s="845"/>
      <c r="GE30" s="846"/>
      <c r="GF30" s="847"/>
      <c r="GG30" s="848"/>
      <c r="GH30" s="849"/>
      <c r="GI30" s="850"/>
      <c r="GJ30" s="851"/>
      <c r="GK30" s="844"/>
      <c r="GL30" s="845"/>
      <c r="GM30" s="846"/>
      <c r="GN30" s="847"/>
      <c r="GO30" s="848"/>
      <c r="GP30" s="849"/>
      <c r="GQ30" s="850"/>
      <c r="GR30" s="851"/>
      <c r="GS30" s="844"/>
      <c r="GT30" s="845"/>
      <c r="GU30" s="846"/>
      <c r="GV30" s="847"/>
      <c r="GW30" s="848"/>
      <c r="GX30" s="849"/>
      <c r="GY30" s="850"/>
      <c r="GZ30" s="851"/>
      <c r="HA30" s="844"/>
      <c r="HB30" s="845"/>
      <c r="HC30" s="846"/>
      <c r="HD30" s="847"/>
      <c r="HE30" s="848"/>
      <c r="HF30" s="849"/>
      <c r="HG30" s="850"/>
      <c r="HH30" s="851"/>
      <c r="HI30" s="844"/>
      <c r="HJ30" s="845"/>
      <c r="HK30" s="846"/>
      <c r="HL30" s="847"/>
      <c r="HM30" s="848"/>
      <c r="HN30" s="849"/>
      <c r="HO30" s="850"/>
      <c r="HP30" s="851"/>
      <c r="HQ30" s="844"/>
      <c r="HR30" s="845"/>
      <c r="HS30" s="846"/>
      <c r="HT30" s="847"/>
      <c r="HU30" s="848"/>
      <c r="HV30" s="849"/>
      <c r="HW30" s="850"/>
      <c r="HX30" s="851"/>
      <c r="HY30" s="844"/>
      <c r="HZ30" s="845"/>
      <c r="IA30" s="846"/>
      <c r="IB30" s="847"/>
      <c r="IC30" s="848"/>
      <c r="ID30" s="849"/>
      <c r="IE30" s="850"/>
      <c r="IF30" s="851"/>
      <c r="IG30" s="844"/>
      <c r="IH30" s="845"/>
      <c r="II30" s="846"/>
      <c r="IJ30" s="847"/>
      <c r="IK30" s="848"/>
      <c r="IL30" s="849"/>
      <c r="IM30" s="850"/>
      <c r="IN30" s="851"/>
      <c r="IO30" s="844"/>
      <c r="IP30" s="845"/>
      <c r="IQ30" s="846"/>
      <c r="IR30" s="847"/>
      <c r="IS30" s="848"/>
      <c r="IT30" s="849"/>
      <c r="IU30" s="850"/>
      <c r="IV30" s="851"/>
    </row>
    <row r="31" spans="1:256" s="469" customFormat="1" ht="23.25" customHeight="1">
      <c r="A31" s="29" t="s">
        <v>457</v>
      </c>
      <c r="B31" s="29"/>
      <c r="C31" s="29"/>
      <c r="D31" s="29"/>
      <c r="E31" s="29" t="s">
        <v>458</v>
      </c>
      <c r="F31" s="29"/>
      <c r="G31" s="29"/>
      <c r="H31" s="29"/>
      <c r="I31" s="29" t="s">
        <v>457</v>
      </c>
      <c r="J31" s="29"/>
      <c r="K31" s="29"/>
      <c r="L31" s="29"/>
      <c r="M31" s="29" t="s">
        <v>458</v>
      </c>
      <c r="N31" s="29"/>
      <c r="O31" s="29"/>
      <c r="P31" s="29"/>
      <c r="Q31" s="29" t="s">
        <v>457</v>
      </c>
      <c r="R31" s="29"/>
      <c r="S31" s="29"/>
      <c r="T31" s="29"/>
      <c r="U31" s="29" t="s">
        <v>458</v>
      </c>
      <c r="V31" s="29"/>
      <c r="W31" s="29"/>
      <c r="X31" s="29"/>
      <c r="Y31" s="29" t="s">
        <v>457</v>
      </c>
      <c r="Z31" s="29"/>
      <c r="AA31" s="29"/>
      <c r="AB31" s="29"/>
      <c r="AC31" s="29" t="s">
        <v>458</v>
      </c>
      <c r="AD31" s="29"/>
      <c r="AE31" s="29"/>
      <c r="AF31" s="29"/>
      <c r="AG31" s="29" t="s">
        <v>457</v>
      </c>
      <c r="AH31" s="29"/>
      <c r="AI31" s="29"/>
      <c r="AJ31" s="29"/>
      <c r="AK31" s="29" t="s">
        <v>458</v>
      </c>
      <c r="AL31" s="29"/>
      <c r="AM31" s="29"/>
      <c r="AN31" s="29"/>
      <c r="AO31" s="29" t="s">
        <v>457</v>
      </c>
      <c r="AP31" s="29"/>
      <c r="AQ31" s="29"/>
      <c r="AR31" s="29"/>
      <c r="AS31" s="29" t="s">
        <v>458</v>
      </c>
      <c r="AT31" s="29"/>
      <c r="AU31" s="29"/>
      <c r="AV31" s="29"/>
      <c r="AW31" s="29" t="s">
        <v>457</v>
      </c>
      <c r="AX31" s="29"/>
      <c r="AY31" s="29"/>
      <c r="AZ31" s="29"/>
      <c r="BA31" s="29" t="s">
        <v>458</v>
      </c>
      <c r="BB31" s="29"/>
      <c r="BC31" s="29"/>
      <c r="BD31" s="29"/>
      <c r="BE31" s="29" t="s">
        <v>457</v>
      </c>
      <c r="BF31" s="29"/>
      <c r="BG31" s="29"/>
      <c r="BH31" s="29"/>
      <c r="BI31" s="29" t="s">
        <v>458</v>
      </c>
      <c r="BJ31" s="29"/>
      <c r="BK31" s="29"/>
      <c r="BL31" s="29"/>
      <c r="BM31" s="29" t="s">
        <v>457</v>
      </c>
      <c r="BN31" s="29"/>
      <c r="BO31" s="29"/>
      <c r="BP31" s="29"/>
      <c r="BQ31" s="29" t="s">
        <v>458</v>
      </c>
      <c r="BR31" s="29"/>
      <c r="BS31" s="29"/>
      <c r="BT31" s="29"/>
      <c r="BU31" s="29" t="s">
        <v>457</v>
      </c>
      <c r="BV31" s="29"/>
      <c r="BW31" s="29"/>
      <c r="BX31" s="29"/>
      <c r="BY31" s="29" t="s">
        <v>458</v>
      </c>
      <c r="BZ31" s="29"/>
      <c r="CA31" s="29"/>
      <c r="CB31" s="29"/>
      <c r="CC31" s="29" t="s">
        <v>457</v>
      </c>
      <c r="CD31" s="29"/>
      <c r="CE31" s="29"/>
      <c r="CF31" s="29"/>
      <c r="CG31" s="29" t="s">
        <v>458</v>
      </c>
      <c r="CH31" s="29"/>
      <c r="CI31" s="29"/>
      <c r="CJ31" s="29"/>
      <c r="CK31" s="29" t="s">
        <v>457</v>
      </c>
      <c r="CL31" s="29"/>
      <c r="CM31" s="29"/>
      <c r="CN31" s="29"/>
      <c r="CO31" s="29" t="s">
        <v>458</v>
      </c>
      <c r="CP31" s="29"/>
      <c r="CQ31" s="29"/>
      <c r="CR31" s="29"/>
      <c r="CS31" s="29" t="s">
        <v>457</v>
      </c>
      <c r="CT31" s="29"/>
      <c r="CU31" s="29"/>
      <c r="CV31" s="29"/>
      <c r="CW31" s="29" t="s">
        <v>458</v>
      </c>
      <c r="CX31" s="29"/>
      <c r="CY31" s="29"/>
      <c r="CZ31" s="29"/>
      <c r="DA31" s="29" t="s">
        <v>457</v>
      </c>
      <c r="DB31" s="29"/>
      <c r="DC31" s="29"/>
      <c r="DD31" s="29"/>
      <c r="DE31" s="29" t="s">
        <v>458</v>
      </c>
      <c r="DF31" s="29"/>
      <c r="DG31" s="29"/>
      <c r="DH31" s="29"/>
      <c r="DI31" s="29" t="s">
        <v>457</v>
      </c>
      <c r="DJ31" s="29"/>
      <c r="DK31" s="29"/>
      <c r="DL31" s="29"/>
      <c r="DM31" s="29" t="s">
        <v>458</v>
      </c>
      <c r="DN31" s="29"/>
      <c r="DO31" s="29"/>
      <c r="DP31" s="29"/>
      <c r="DQ31" s="29" t="s">
        <v>457</v>
      </c>
      <c r="DR31" s="29"/>
      <c r="DS31" s="29"/>
      <c r="DT31" s="29"/>
      <c r="DU31" s="29" t="s">
        <v>458</v>
      </c>
      <c r="DV31" s="29"/>
      <c r="DW31" s="29"/>
      <c r="DX31" s="29"/>
      <c r="DY31" s="29" t="s">
        <v>457</v>
      </c>
      <c r="DZ31" s="29"/>
      <c r="EA31" s="29"/>
      <c r="EB31" s="29"/>
      <c r="EC31" s="29" t="s">
        <v>458</v>
      </c>
      <c r="ED31" s="29"/>
      <c r="EE31" s="29"/>
      <c r="EF31" s="29"/>
      <c r="EG31" s="29" t="s">
        <v>457</v>
      </c>
      <c r="EH31" s="29"/>
      <c r="EI31" s="29"/>
      <c r="EJ31" s="29"/>
      <c r="EK31" s="29" t="s">
        <v>458</v>
      </c>
      <c r="EL31" s="29"/>
      <c r="EM31" s="29"/>
      <c r="EN31" s="29"/>
      <c r="EO31" s="29" t="s">
        <v>457</v>
      </c>
      <c r="EP31" s="29"/>
      <c r="EQ31" s="29"/>
      <c r="ER31" s="29"/>
      <c r="ES31" s="29" t="s">
        <v>458</v>
      </c>
      <c r="ET31" s="29"/>
      <c r="EU31" s="29"/>
      <c r="EV31" s="29"/>
      <c r="EW31" s="29" t="s">
        <v>457</v>
      </c>
      <c r="EX31" s="29"/>
      <c r="EY31" s="29"/>
      <c r="EZ31" s="29"/>
      <c r="FA31" s="29" t="s">
        <v>458</v>
      </c>
      <c r="FB31" s="29"/>
      <c r="FC31" s="29"/>
      <c r="FD31" s="29"/>
      <c r="FE31" s="29" t="s">
        <v>457</v>
      </c>
      <c r="FF31" s="29"/>
      <c r="FG31" s="29"/>
      <c r="FH31" s="29"/>
      <c r="FI31" s="29" t="s">
        <v>458</v>
      </c>
      <c r="FJ31" s="29"/>
      <c r="FK31" s="29"/>
      <c r="FL31" s="29"/>
      <c r="FM31" s="29" t="s">
        <v>457</v>
      </c>
      <c r="FN31" s="29"/>
      <c r="FO31" s="29"/>
      <c r="FP31" s="29"/>
      <c r="FQ31" s="29" t="s">
        <v>458</v>
      </c>
      <c r="FR31" s="29"/>
      <c r="FS31" s="29"/>
      <c r="FT31" s="29"/>
      <c r="FU31" s="29" t="s">
        <v>457</v>
      </c>
      <c r="FV31" s="29"/>
      <c r="FW31" s="29"/>
      <c r="FX31" s="29"/>
      <c r="FY31" s="29" t="s">
        <v>458</v>
      </c>
      <c r="FZ31" s="29"/>
      <c r="GA31" s="29"/>
      <c r="GB31" s="29"/>
      <c r="GC31" s="29" t="s">
        <v>457</v>
      </c>
      <c r="GD31" s="29"/>
      <c r="GE31" s="29"/>
      <c r="GF31" s="29"/>
      <c r="GG31" s="29" t="s">
        <v>458</v>
      </c>
      <c r="GH31" s="29"/>
      <c r="GI31" s="29"/>
      <c r="GJ31" s="29"/>
      <c r="GK31" s="29" t="s">
        <v>457</v>
      </c>
      <c r="GL31" s="29"/>
      <c r="GM31" s="29"/>
      <c r="GN31" s="29"/>
      <c r="GO31" s="29" t="s">
        <v>458</v>
      </c>
      <c r="GP31" s="29"/>
      <c r="GQ31" s="29"/>
      <c r="GR31" s="29"/>
      <c r="GS31" s="29" t="s">
        <v>457</v>
      </c>
      <c r="GT31" s="29"/>
      <c r="GU31" s="29"/>
      <c r="GV31" s="29"/>
      <c r="GW31" s="29" t="s">
        <v>458</v>
      </c>
      <c r="GX31" s="29"/>
      <c r="GY31" s="29"/>
      <c r="GZ31" s="29"/>
      <c r="HA31" s="29" t="s">
        <v>457</v>
      </c>
      <c r="HB31" s="29"/>
      <c r="HC31" s="29"/>
      <c r="HD31" s="29"/>
      <c r="HE31" s="29" t="s">
        <v>458</v>
      </c>
      <c r="HF31" s="29"/>
      <c r="HG31" s="29"/>
      <c r="HH31" s="29"/>
      <c r="HI31" s="29" t="s">
        <v>457</v>
      </c>
      <c r="HJ31" s="29"/>
      <c r="HK31" s="29"/>
      <c r="HL31" s="29"/>
      <c r="HM31" s="29" t="s">
        <v>458</v>
      </c>
      <c r="HN31" s="29"/>
      <c r="HO31" s="29"/>
      <c r="HP31" s="29"/>
      <c r="HQ31" s="29" t="s">
        <v>457</v>
      </c>
      <c r="HR31" s="29"/>
      <c r="HS31" s="29"/>
      <c r="HT31" s="29"/>
      <c r="HU31" s="29" t="s">
        <v>458</v>
      </c>
      <c r="HV31" s="29"/>
      <c r="HW31" s="29"/>
      <c r="HX31" s="29"/>
      <c r="HY31" s="29" t="s">
        <v>457</v>
      </c>
      <c r="HZ31" s="29"/>
      <c r="IA31" s="29"/>
      <c r="IB31" s="29"/>
      <c r="IC31" s="29" t="s">
        <v>458</v>
      </c>
      <c r="ID31" s="29"/>
      <c r="IE31" s="29"/>
      <c r="IF31" s="29"/>
      <c r="IG31" s="29" t="s">
        <v>457</v>
      </c>
      <c r="IH31" s="29"/>
      <c r="II31" s="29"/>
      <c r="IJ31" s="29"/>
      <c r="IK31" s="29" t="s">
        <v>458</v>
      </c>
      <c r="IL31" s="29"/>
      <c r="IM31" s="29"/>
      <c r="IN31" s="29"/>
      <c r="IO31" s="29" t="s">
        <v>457</v>
      </c>
      <c r="IP31" s="29"/>
      <c r="IQ31" s="29"/>
      <c r="IR31" s="29"/>
      <c r="IS31" s="29" t="s">
        <v>458</v>
      </c>
      <c r="IT31" s="29"/>
      <c r="IU31" s="29"/>
      <c r="IV31" s="29"/>
    </row>
    <row r="32" spans="1:6" s="469" customFormat="1" ht="23.25" customHeight="1">
      <c r="A32" s="1659" t="str">
        <f>A1</f>
        <v>經濟部水利署第十河川局</v>
      </c>
      <c r="B32" s="1659"/>
      <c r="C32" s="1659"/>
      <c r="D32" s="1659"/>
      <c r="E32" s="1659"/>
      <c r="F32" s="1659"/>
    </row>
    <row r="33" spans="1:6" s="469" customFormat="1" ht="23.25" customHeight="1">
      <c r="A33" s="1659" t="s">
        <v>307</v>
      </c>
      <c r="B33" s="1659"/>
      <c r="C33" s="1659"/>
      <c r="D33" s="1659"/>
      <c r="E33" s="1659"/>
      <c r="F33" s="1659"/>
    </row>
    <row r="34" spans="1:6" s="469" customFormat="1" ht="23.25" customHeight="1">
      <c r="A34" s="1658" t="str">
        <f>A3</f>
        <v>工程名稱:基隆河整體治理計劃（前期計劃）瑞芳區塊介壽橋下游左右岸護岸工程</v>
      </c>
      <c r="B34" s="1658"/>
      <c r="C34" s="1658"/>
      <c r="D34" s="1658"/>
      <c r="E34" s="1658"/>
      <c r="F34" s="1658"/>
    </row>
    <row r="35" spans="1:6" s="469" customFormat="1" ht="23.25" customHeight="1" thickBot="1">
      <c r="A35" s="1660" t="str">
        <f>A4</f>
        <v>施工地點：台北縣瑞芳鎮</v>
      </c>
      <c r="B35" s="1660"/>
      <c r="C35" s="1660"/>
      <c r="D35" s="501"/>
      <c r="E35" s="1661" t="s">
        <v>310</v>
      </c>
      <c r="F35" s="1661"/>
    </row>
    <row r="36" spans="1:6" s="469" customFormat="1" ht="23.25" customHeight="1">
      <c r="A36" s="497" t="s">
        <v>478</v>
      </c>
      <c r="B36" s="498" t="s">
        <v>442</v>
      </c>
      <c r="C36" s="498" t="s">
        <v>439</v>
      </c>
      <c r="D36" s="498" t="s">
        <v>479</v>
      </c>
      <c r="E36" s="499" t="s">
        <v>440</v>
      </c>
      <c r="F36" s="500" t="s">
        <v>423</v>
      </c>
    </row>
    <row r="37" spans="1:6" s="469" customFormat="1" ht="24.75" customHeight="1">
      <c r="A37" s="502">
        <v>7</v>
      </c>
      <c r="B37" s="402" t="str">
        <f>'第一號明細表'!A13</f>
        <v>140kgf/cm^2預拌混凝土 'G≦1",S=4"</v>
      </c>
      <c r="C37" s="279" t="str">
        <f>'第一號明細表'!C13</f>
        <v>m3</v>
      </c>
      <c r="D37" s="1355" t="s">
        <v>1375</v>
      </c>
      <c r="E37" s="1334">
        <f>81.38+65.14+45+42+39+29.1+205+0.94+0.43+92.6+11.1</f>
        <v>611.7</v>
      </c>
      <c r="F37" s="1226" t="s">
        <v>1398</v>
      </c>
    </row>
    <row r="38" spans="1:6" s="469" customFormat="1" ht="24.75" customHeight="1">
      <c r="A38" s="502"/>
      <c r="B38" s="402"/>
      <c r="C38" s="279"/>
      <c r="D38" s="1355" t="s">
        <v>1439</v>
      </c>
      <c r="E38" s="242"/>
      <c r="F38" s="1226" t="s">
        <v>1397</v>
      </c>
    </row>
    <row r="39" spans="1:6" s="469" customFormat="1" ht="24.75" customHeight="1">
      <c r="A39" s="502"/>
      <c r="B39" s="402"/>
      <c r="C39" s="279"/>
      <c r="D39" s="1355" t="s">
        <v>1440</v>
      </c>
      <c r="E39" s="242"/>
      <c r="F39" s="1226" t="s">
        <v>1396</v>
      </c>
    </row>
    <row r="40" spans="1:6" s="469" customFormat="1" ht="24.75" customHeight="1">
      <c r="A40" s="502"/>
      <c r="B40" s="402"/>
      <c r="C40" s="279"/>
      <c r="D40" s="1355" t="s">
        <v>1441</v>
      </c>
      <c r="E40" s="242"/>
      <c r="F40" s="1226" t="s">
        <v>1395</v>
      </c>
    </row>
    <row r="41" spans="1:6" s="469" customFormat="1" ht="24.75" customHeight="1">
      <c r="A41" s="502"/>
      <c r="B41" s="402"/>
      <c r="C41" s="279"/>
      <c r="D41" s="1355" t="s">
        <v>1442</v>
      </c>
      <c r="E41" s="242"/>
      <c r="F41" s="1226" t="s">
        <v>1394</v>
      </c>
    </row>
    <row r="42" spans="1:6" s="469" customFormat="1" ht="24.75" customHeight="1">
      <c r="A42" s="502"/>
      <c r="B42" s="402"/>
      <c r="C42" s="279"/>
      <c r="D42" s="1355" t="s">
        <v>1443</v>
      </c>
      <c r="E42" s="242"/>
      <c r="F42" s="1226" t="s">
        <v>1393</v>
      </c>
    </row>
    <row r="43" spans="1:6" s="469" customFormat="1" ht="24.75" customHeight="1">
      <c r="A43" s="502"/>
      <c r="B43" s="402"/>
      <c r="C43" s="279"/>
      <c r="D43" s="1355" t="s">
        <v>1444</v>
      </c>
      <c r="E43" s="242"/>
      <c r="F43" s="1226" t="s">
        <v>1392</v>
      </c>
    </row>
    <row r="44" spans="1:6" s="469" customFormat="1" ht="24.75" customHeight="1">
      <c r="A44" s="502"/>
      <c r="B44" s="402"/>
      <c r="C44" s="279"/>
      <c r="D44" s="1355" t="s">
        <v>1445</v>
      </c>
      <c r="E44" s="242"/>
      <c r="F44" s="1226" t="s">
        <v>1391</v>
      </c>
    </row>
    <row r="45" spans="1:6" s="469" customFormat="1" ht="24.75" customHeight="1">
      <c r="A45" s="502"/>
      <c r="B45" s="402"/>
      <c r="C45" s="279"/>
      <c r="D45" s="1355" t="s">
        <v>1446</v>
      </c>
      <c r="E45" s="242"/>
      <c r="F45" s="1226" t="s">
        <v>1390</v>
      </c>
    </row>
    <row r="46" spans="1:6" s="469" customFormat="1" ht="24.75" customHeight="1">
      <c r="A46" s="502"/>
      <c r="B46" s="402"/>
      <c r="C46" s="279"/>
      <c r="D46" s="1355" t="s">
        <v>70</v>
      </c>
      <c r="E46" s="242"/>
      <c r="F46" s="1226" t="s">
        <v>1378</v>
      </c>
    </row>
    <row r="47" spans="1:6" s="469" customFormat="1" ht="24.75" customHeight="1">
      <c r="A47" s="502"/>
      <c r="B47" s="402"/>
      <c r="C47" s="279"/>
      <c r="D47" s="1355" t="s">
        <v>71</v>
      </c>
      <c r="E47" s="242"/>
      <c r="F47" s="1226" t="s">
        <v>1379</v>
      </c>
    </row>
    <row r="48" spans="1:6" s="469" customFormat="1" ht="24.75" customHeight="1">
      <c r="A48" s="502"/>
      <c r="B48" s="402"/>
      <c r="C48" s="279"/>
      <c r="D48" s="1355"/>
      <c r="E48" s="242"/>
      <c r="F48" s="1226"/>
    </row>
    <row r="49" spans="1:6" s="469" customFormat="1" ht="24.75" customHeight="1">
      <c r="A49" s="502">
        <v>8</v>
      </c>
      <c r="B49" s="1336" t="str">
        <f>'第一號明細表'!A14</f>
        <v>甲種模型損耗</v>
      </c>
      <c r="C49" s="279" t="str">
        <f>'第一號明細表'!C14</f>
        <v>m2</v>
      </c>
      <c r="D49" s="1355" t="s">
        <v>72</v>
      </c>
      <c r="E49" s="242">
        <f>407.2+3162+158.4+72+7817+684+55</f>
        <v>12356</v>
      </c>
      <c r="F49" s="1226" t="s">
        <v>1387</v>
      </c>
    </row>
    <row r="50" spans="1:6" s="469" customFormat="1" ht="24.75" customHeight="1">
      <c r="A50" s="502"/>
      <c r="B50" s="402"/>
      <c r="C50" s="279"/>
      <c r="D50" s="1355" t="s">
        <v>73</v>
      </c>
      <c r="E50" s="242"/>
      <c r="F50" s="1226" t="s">
        <v>1388</v>
      </c>
    </row>
    <row r="51" spans="1:6" s="469" customFormat="1" ht="24.75" customHeight="1">
      <c r="A51" s="502"/>
      <c r="B51" s="402"/>
      <c r="C51" s="279"/>
      <c r="D51" s="1355" t="s">
        <v>74</v>
      </c>
      <c r="E51" s="242"/>
      <c r="F51" s="1226" t="s">
        <v>1339</v>
      </c>
    </row>
    <row r="52" spans="1:6" s="469" customFormat="1" ht="24.75" customHeight="1">
      <c r="A52" s="502"/>
      <c r="B52" s="402"/>
      <c r="C52" s="279"/>
      <c r="D52" s="1355" t="s">
        <v>75</v>
      </c>
      <c r="E52" s="242"/>
      <c r="F52" s="1226" t="s">
        <v>1340</v>
      </c>
    </row>
    <row r="53" spans="1:6" s="469" customFormat="1" ht="24.75" customHeight="1">
      <c r="A53" s="502"/>
      <c r="B53" s="402"/>
      <c r="C53" s="279"/>
      <c r="D53" s="1355" t="s">
        <v>76</v>
      </c>
      <c r="E53" s="242"/>
      <c r="F53" s="1226" t="s">
        <v>1316</v>
      </c>
    </row>
    <row r="54" spans="1:6" s="469" customFormat="1" ht="24.75" customHeight="1">
      <c r="A54" s="502"/>
      <c r="B54" s="402"/>
      <c r="C54" s="279"/>
      <c r="D54" s="1355" t="s">
        <v>77</v>
      </c>
      <c r="E54" s="242"/>
      <c r="F54" s="1226" t="s">
        <v>1389</v>
      </c>
    </row>
    <row r="55" spans="1:6" s="469" customFormat="1" ht="24.75" customHeight="1">
      <c r="A55" s="502"/>
      <c r="B55" s="402"/>
      <c r="C55" s="279"/>
      <c r="D55" s="1665" t="s">
        <v>313</v>
      </c>
      <c r="E55" s="242"/>
      <c r="F55" s="1226" t="s">
        <v>312</v>
      </c>
    </row>
    <row r="56" spans="1:6" s="469" customFormat="1" ht="24.75" customHeight="1">
      <c r="A56" s="502"/>
      <c r="B56" s="402"/>
      <c r="C56" s="279"/>
      <c r="D56" s="1666"/>
      <c r="E56" s="242"/>
      <c r="F56" s="1226"/>
    </row>
    <row r="57" spans="1:6" s="469" customFormat="1" ht="24.75" customHeight="1">
      <c r="A57" s="502"/>
      <c r="B57" s="402"/>
      <c r="C57" s="279"/>
      <c r="D57" s="1337"/>
      <c r="E57" s="242"/>
      <c r="F57" s="1226"/>
    </row>
    <row r="58" spans="1:6" s="469" customFormat="1" ht="24.75" customHeight="1" thickBot="1">
      <c r="A58" s="863"/>
      <c r="B58" s="1216"/>
      <c r="C58" s="734"/>
      <c r="D58" s="1332"/>
      <c r="E58" s="735"/>
      <c r="F58" s="1302"/>
    </row>
    <row r="59" spans="1:256" s="469" customFormat="1" ht="23.25" customHeight="1">
      <c r="A59" s="844"/>
      <c r="B59" s="845"/>
      <c r="C59" s="846"/>
      <c r="D59" s="847"/>
      <c r="E59" s="848"/>
      <c r="F59" s="849"/>
      <c r="G59" s="850"/>
      <c r="H59" s="851"/>
      <c r="I59" s="844"/>
      <c r="J59" s="845"/>
      <c r="K59" s="846"/>
      <c r="L59" s="847"/>
      <c r="M59" s="848"/>
      <c r="N59" s="849"/>
      <c r="O59" s="850"/>
      <c r="P59" s="851"/>
      <c r="Q59" s="844"/>
      <c r="R59" s="845"/>
      <c r="S59" s="846"/>
      <c r="T59" s="847"/>
      <c r="U59" s="848"/>
      <c r="V59" s="849"/>
      <c r="W59" s="850"/>
      <c r="X59" s="851"/>
      <c r="Y59" s="844"/>
      <c r="Z59" s="845"/>
      <c r="AA59" s="846"/>
      <c r="AB59" s="847"/>
      <c r="AC59" s="848"/>
      <c r="AD59" s="849"/>
      <c r="AE59" s="850"/>
      <c r="AF59" s="851"/>
      <c r="AG59" s="844"/>
      <c r="AH59" s="845"/>
      <c r="AI59" s="846"/>
      <c r="AJ59" s="847"/>
      <c r="AK59" s="848"/>
      <c r="AL59" s="849"/>
      <c r="AM59" s="850"/>
      <c r="AN59" s="851"/>
      <c r="AO59" s="844"/>
      <c r="AP59" s="845"/>
      <c r="AQ59" s="846"/>
      <c r="AR59" s="847"/>
      <c r="AS59" s="848"/>
      <c r="AT59" s="849"/>
      <c r="AU59" s="850"/>
      <c r="AV59" s="851"/>
      <c r="AW59" s="844"/>
      <c r="AX59" s="845"/>
      <c r="AY59" s="846"/>
      <c r="AZ59" s="847"/>
      <c r="BA59" s="848"/>
      <c r="BB59" s="849"/>
      <c r="BC59" s="850"/>
      <c r="BD59" s="851"/>
      <c r="BE59" s="844"/>
      <c r="BF59" s="845"/>
      <c r="BG59" s="846"/>
      <c r="BH59" s="847"/>
      <c r="BI59" s="848"/>
      <c r="BJ59" s="849"/>
      <c r="BK59" s="850"/>
      <c r="BL59" s="851"/>
      <c r="BM59" s="844"/>
      <c r="BN59" s="845"/>
      <c r="BO59" s="846"/>
      <c r="BP59" s="847"/>
      <c r="BQ59" s="848"/>
      <c r="BR59" s="849"/>
      <c r="BS59" s="850"/>
      <c r="BT59" s="851"/>
      <c r="BU59" s="844"/>
      <c r="BV59" s="845"/>
      <c r="BW59" s="846"/>
      <c r="BX59" s="847"/>
      <c r="BY59" s="848"/>
      <c r="BZ59" s="849"/>
      <c r="CA59" s="850"/>
      <c r="CB59" s="851"/>
      <c r="CC59" s="844"/>
      <c r="CD59" s="845"/>
      <c r="CE59" s="846"/>
      <c r="CF59" s="847"/>
      <c r="CG59" s="848"/>
      <c r="CH59" s="849"/>
      <c r="CI59" s="850"/>
      <c r="CJ59" s="851"/>
      <c r="CK59" s="844"/>
      <c r="CL59" s="845"/>
      <c r="CM59" s="846"/>
      <c r="CN59" s="847"/>
      <c r="CO59" s="848"/>
      <c r="CP59" s="849"/>
      <c r="CQ59" s="850"/>
      <c r="CR59" s="851"/>
      <c r="CS59" s="844"/>
      <c r="CT59" s="845"/>
      <c r="CU59" s="846"/>
      <c r="CV59" s="847"/>
      <c r="CW59" s="848"/>
      <c r="CX59" s="849"/>
      <c r="CY59" s="850"/>
      <c r="CZ59" s="851"/>
      <c r="DA59" s="844"/>
      <c r="DB59" s="845"/>
      <c r="DC59" s="846"/>
      <c r="DD59" s="847"/>
      <c r="DE59" s="848"/>
      <c r="DF59" s="849"/>
      <c r="DG59" s="850"/>
      <c r="DH59" s="851"/>
      <c r="DI59" s="844"/>
      <c r="DJ59" s="845"/>
      <c r="DK59" s="846"/>
      <c r="DL59" s="847"/>
      <c r="DM59" s="848"/>
      <c r="DN59" s="849"/>
      <c r="DO59" s="850"/>
      <c r="DP59" s="851"/>
      <c r="DQ59" s="844"/>
      <c r="DR59" s="845"/>
      <c r="DS59" s="846"/>
      <c r="DT59" s="847"/>
      <c r="DU59" s="848"/>
      <c r="DV59" s="849"/>
      <c r="DW59" s="850"/>
      <c r="DX59" s="851"/>
      <c r="DY59" s="844"/>
      <c r="DZ59" s="845"/>
      <c r="EA59" s="846"/>
      <c r="EB59" s="847"/>
      <c r="EC59" s="848"/>
      <c r="ED59" s="849"/>
      <c r="EE59" s="850"/>
      <c r="EF59" s="851"/>
      <c r="EG59" s="844"/>
      <c r="EH59" s="845"/>
      <c r="EI59" s="846"/>
      <c r="EJ59" s="847"/>
      <c r="EK59" s="848"/>
      <c r="EL59" s="849"/>
      <c r="EM59" s="850"/>
      <c r="EN59" s="851"/>
      <c r="EO59" s="844"/>
      <c r="EP59" s="845"/>
      <c r="EQ59" s="846"/>
      <c r="ER59" s="847"/>
      <c r="ES59" s="848"/>
      <c r="ET59" s="849"/>
      <c r="EU59" s="850"/>
      <c r="EV59" s="851"/>
      <c r="EW59" s="844"/>
      <c r="EX59" s="845"/>
      <c r="EY59" s="846"/>
      <c r="EZ59" s="847"/>
      <c r="FA59" s="848"/>
      <c r="FB59" s="849"/>
      <c r="FC59" s="850"/>
      <c r="FD59" s="851"/>
      <c r="FE59" s="844"/>
      <c r="FF59" s="845"/>
      <c r="FG59" s="846"/>
      <c r="FH59" s="847"/>
      <c r="FI59" s="848"/>
      <c r="FJ59" s="849"/>
      <c r="FK59" s="850"/>
      <c r="FL59" s="851"/>
      <c r="FM59" s="844"/>
      <c r="FN59" s="845"/>
      <c r="FO59" s="846"/>
      <c r="FP59" s="847"/>
      <c r="FQ59" s="848"/>
      <c r="FR59" s="849"/>
      <c r="FS59" s="850"/>
      <c r="FT59" s="851"/>
      <c r="FU59" s="844"/>
      <c r="FV59" s="845"/>
      <c r="FW59" s="846"/>
      <c r="FX59" s="847"/>
      <c r="FY59" s="848"/>
      <c r="FZ59" s="849"/>
      <c r="GA59" s="850"/>
      <c r="GB59" s="851"/>
      <c r="GC59" s="844"/>
      <c r="GD59" s="845"/>
      <c r="GE59" s="846"/>
      <c r="GF59" s="847"/>
      <c r="GG59" s="848"/>
      <c r="GH59" s="849"/>
      <c r="GI59" s="850"/>
      <c r="GJ59" s="851"/>
      <c r="GK59" s="844"/>
      <c r="GL59" s="845"/>
      <c r="GM59" s="846"/>
      <c r="GN59" s="847"/>
      <c r="GO59" s="848"/>
      <c r="GP59" s="849"/>
      <c r="GQ59" s="850"/>
      <c r="GR59" s="851"/>
      <c r="GS59" s="844"/>
      <c r="GT59" s="845"/>
      <c r="GU59" s="846"/>
      <c r="GV59" s="847"/>
      <c r="GW59" s="848"/>
      <c r="GX59" s="849"/>
      <c r="GY59" s="850"/>
      <c r="GZ59" s="851"/>
      <c r="HA59" s="844"/>
      <c r="HB59" s="845"/>
      <c r="HC59" s="846"/>
      <c r="HD59" s="847"/>
      <c r="HE59" s="848"/>
      <c r="HF59" s="849"/>
      <c r="HG59" s="850"/>
      <c r="HH59" s="851"/>
      <c r="HI59" s="844"/>
      <c r="HJ59" s="845"/>
      <c r="HK59" s="846"/>
      <c r="HL59" s="847"/>
      <c r="HM59" s="848"/>
      <c r="HN59" s="849"/>
      <c r="HO59" s="850"/>
      <c r="HP59" s="851"/>
      <c r="HQ59" s="844"/>
      <c r="HR59" s="845"/>
      <c r="HS59" s="846"/>
      <c r="HT59" s="847"/>
      <c r="HU59" s="848"/>
      <c r="HV59" s="849"/>
      <c r="HW59" s="850"/>
      <c r="HX59" s="851"/>
      <c r="HY59" s="844"/>
      <c r="HZ59" s="845"/>
      <c r="IA59" s="846"/>
      <c r="IB59" s="847"/>
      <c r="IC59" s="848"/>
      <c r="ID59" s="849"/>
      <c r="IE59" s="850"/>
      <c r="IF59" s="851"/>
      <c r="IG59" s="844"/>
      <c r="IH59" s="845"/>
      <c r="II59" s="846"/>
      <c r="IJ59" s="847"/>
      <c r="IK59" s="848"/>
      <c r="IL59" s="849"/>
      <c r="IM59" s="850"/>
      <c r="IN59" s="851"/>
      <c r="IO59" s="844"/>
      <c r="IP59" s="845"/>
      <c r="IQ59" s="846"/>
      <c r="IR59" s="847"/>
      <c r="IS59" s="848"/>
      <c r="IT59" s="849"/>
      <c r="IU59" s="850"/>
      <c r="IV59" s="851"/>
    </row>
    <row r="60" spans="1:256" s="469" customFormat="1" ht="23.25" customHeight="1">
      <c r="A60" s="29" t="s">
        <v>457</v>
      </c>
      <c r="B60" s="29"/>
      <c r="C60" s="29"/>
      <c r="D60" s="29"/>
      <c r="E60" s="29" t="s">
        <v>458</v>
      </c>
      <c r="F60" s="29"/>
      <c r="G60" s="29"/>
      <c r="H60" s="29"/>
      <c r="I60" s="29" t="s">
        <v>457</v>
      </c>
      <c r="J60" s="29"/>
      <c r="K60" s="29"/>
      <c r="L60" s="29"/>
      <c r="M60" s="29" t="s">
        <v>458</v>
      </c>
      <c r="N60" s="29"/>
      <c r="O60" s="29"/>
      <c r="P60" s="29"/>
      <c r="Q60" s="29" t="s">
        <v>457</v>
      </c>
      <c r="R60" s="29"/>
      <c r="S60" s="29"/>
      <c r="T60" s="29"/>
      <c r="U60" s="29" t="s">
        <v>458</v>
      </c>
      <c r="V60" s="29"/>
      <c r="W60" s="29"/>
      <c r="X60" s="29"/>
      <c r="Y60" s="29" t="s">
        <v>457</v>
      </c>
      <c r="Z60" s="29"/>
      <c r="AA60" s="29"/>
      <c r="AB60" s="29"/>
      <c r="AC60" s="29" t="s">
        <v>458</v>
      </c>
      <c r="AD60" s="29"/>
      <c r="AE60" s="29"/>
      <c r="AF60" s="29"/>
      <c r="AG60" s="29" t="s">
        <v>457</v>
      </c>
      <c r="AH60" s="29"/>
      <c r="AI60" s="29"/>
      <c r="AJ60" s="29"/>
      <c r="AK60" s="29" t="s">
        <v>458</v>
      </c>
      <c r="AL60" s="29"/>
      <c r="AM60" s="29"/>
      <c r="AN60" s="29"/>
      <c r="AO60" s="29" t="s">
        <v>457</v>
      </c>
      <c r="AP60" s="29"/>
      <c r="AQ60" s="29"/>
      <c r="AR60" s="29"/>
      <c r="AS60" s="29" t="s">
        <v>458</v>
      </c>
      <c r="AT60" s="29"/>
      <c r="AU60" s="29"/>
      <c r="AV60" s="29"/>
      <c r="AW60" s="29" t="s">
        <v>457</v>
      </c>
      <c r="AX60" s="29"/>
      <c r="AY60" s="29"/>
      <c r="AZ60" s="29"/>
      <c r="BA60" s="29" t="s">
        <v>458</v>
      </c>
      <c r="BB60" s="29"/>
      <c r="BC60" s="29"/>
      <c r="BD60" s="29"/>
      <c r="BE60" s="29" t="s">
        <v>457</v>
      </c>
      <c r="BF60" s="29"/>
      <c r="BG60" s="29"/>
      <c r="BH60" s="29"/>
      <c r="BI60" s="29" t="s">
        <v>458</v>
      </c>
      <c r="BJ60" s="29"/>
      <c r="BK60" s="29"/>
      <c r="BL60" s="29"/>
      <c r="BM60" s="29" t="s">
        <v>457</v>
      </c>
      <c r="BN60" s="29"/>
      <c r="BO60" s="29"/>
      <c r="BP60" s="29"/>
      <c r="BQ60" s="29" t="s">
        <v>458</v>
      </c>
      <c r="BR60" s="29"/>
      <c r="BS60" s="29"/>
      <c r="BT60" s="29"/>
      <c r="BU60" s="29" t="s">
        <v>457</v>
      </c>
      <c r="BV60" s="29"/>
      <c r="BW60" s="29"/>
      <c r="BX60" s="29"/>
      <c r="BY60" s="29" t="s">
        <v>458</v>
      </c>
      <c r="BZ60" s="29"/>
      <c r="CA60" s="29"/>
      <c r="CB60" s="29"/>
      <c r="CC60" s="29" t="s">
        <v>457</v>
      </c>
      <c r="CD60" s="29"/>
      <c r="CE60" s="29"/>
      <c r="CF60" s="29"/>
      <c r="CG60" s="29" t="s">
        <v>458</v>
      </c>
      <c r="CH60" s="29"/>
      <c r="CI60" s="29"/>
      <c r="CJ60" s="29"/>
      <c r="CK60" s="29" t="s">
        <v>457</v>
      </c>
      <c r="CL60" s="29"/>
      <c r="CM60" s="29"/>
      <c r="CN60" s="29"/>
      <c r="CO60" s="29" t="s">
        <v>458</v>
      </c>
      <c r="CP60" s="29"/>
      <c r="CQ60" s="29"/>
      <c r="CR60" s="29"/>
      <c r="CS60" s="29" t="s">
        <v>457</v>
      </c>
      <c r="CT60" s="29"/>
      <c r="CU60" s="29"/>
      <c r="CV60" s="29"/>
      <c r="CW60" s="29" t="s">
        <v>458</v>
      </c>
      <c r="CX60" s="29"/>
      <c r="CY60" s="29"/>
      <c r="CZ60" s="29"/>
      <c r="DA60" s="29" t="s">
        <v>457</v>
      </c>
      <c r="DB60" s="29"/>
      <c r="DC60" s="29"/>
      <c r="DD60" s="29"/>
      <c r="DE60" s="29" t="s">
        <v>458</v>
      </c>
      <c r="DF60" s="29"/>
      <c r="DG60" s="29"/>
      <c r="DH60" s="29"/>
      <c r="DI60" s="29" t="s">
        <v>457</v>
      </c>
      <c r="DJ60" s="29"/>
      <c r="DK60" s="29"/>
      <c r="DL60" s="29"/>
      <c r="DM60" s="29" t="s">
        <v>458</v>
      </c>
      <c r="DN60" s="29"/>
      <c r="DO60" s="29"/>
      <c r="DP60" s="29"/>
      <c r="DQ60" s="29" t="s">
        <v>457</v>
      </c>
      <c r="DR60" s="29"/>
      <c r="DS60" s="29"/>
      <c r="DT60" s="29"/>
      <c r="DU60" s="29" t="s">
        <v>458</v>
      </c>
      <c r="DV60" s="29"/>
      <c r="DW60" s="29"/>
      <c r="DX60" s="29"/>
      <c r="DY60" s="29" t="s">
        <v>457</v>
      </c>
      <c r="DZ60" s="29"/>
      <c r="EA60" s="29"/>
      <c r="EB60" s="29"/>
      <c r="EC60" s="29" t="s">
        <v>458</v>
      </c>
      <c r="ED60" s="29"/>
      <c r="EE60" s="29"/>
      <c r="EF60" s="29"/>
      <c r="EG60" s="29" t="s">
        <v>457</v>
      </c>
      <c r="EH60" s="29"/>
      <c r="EI60" s="29"/>
      <c r="EJ60" s="29"/>
      <c r="EK60" s="29" t="s">
        <v>458</v>
      </c>
      <c r="EL60" s="29"/>
      <c r="EM60" s="29"/>
      <c r="EN60" s="29"/>
      <c r="EO60" s="29" t="s">
        <v>457</v>
      </c>
      <c r="EP60" s="29"/>
      <c r="EQ60" s="29"/>
      <c r="ER60" s="29"/>
      <c r="ES60" s="29" t="s">
        <v>458</v>
      </c>
      <c r="ET60" s="29"/>
      <c r="EU60" s="29"/>
      <c r="EV60" s="29"/>
      <c r="EW60" s="29" t="s">
        <v>457</v>
      </c>
      <c r="EX60" s="29"/>
      <c r="EY60" s="29"/>
      <c r="EZ60" s="29"/>
      <c r="FA60" s="29" t="s">
        <v>458</v>
      </c>
      <c r="FB60" s="29"/>
      <c r="FC60" s="29"/>
      <c r="FD60" s="29"/>
      <c r="FE60" s="29" t="s">
        <v>457</v>
      </c>
      <c r="FF60" s="29"/>
      <c r="FG60" s="29"/>
      <c r="FH60" s="29"/>
      <c r="FI60" s="29" t="s">
        <v>458</v>
      </c>
      <c r="FJ60" s="29"/>
      <c r="FK60" s="29"/>
      <c r="FL60" s="29"/>
      <c r="FM60" s="29" t="s">
        <v>457</v>
      </c>
      <c r="FN60" s="29"/>
      <c r="FO60" s="29"/>
      <c r="FP60" s="29"/>
      <c r="FQ60" s="29" t="s">
        <v>458</v>
      </c>
      <c r="FR60" s="29"/>
      <c r="FS60" s="29"/>
      <c r="FT60" s="29"/>
      <c r="FU60" s="29" t="s">
        <v>457</v>
      </c>
      <c r="FV60" s="29"/>
      <c r="FW60" s="29"/>
      <c r="FX60" s="29"/>
      <c r="FY60" s="29" t="s">
        <v>458</v>
      </c>
      <c r="FZ60" s="29"/>
      <c r="GA60" s="29"/>
      <c r="GB60" s="29"/>
      <c r="GC60" s="29" t="s">
        <v>457</v>
      </c>
      <c r="GD60" s="29"/>
      <c r="GE60" s="29"/>
      <c r="GF60" s="29"/>
      <c r="GG60" s="29" t="s">
        <v>458</v>
      </c>
      <c r="GH60" s="29"/>
      <c r="GI60" s="29"/>
      <c r="GJ60" s="29"/>
      <c r="GK60" s="29" t="s">
        <v>457</v>
      </c>
      <c r="GL60" s="29"/>
      <c r="GM60" s="29"/>
      <c r="GN60" s="29"/>
      <c r="GO60" s="29" t="s">
        <v>458</v>
      </c>
      <c r="GP60" s="29"/>
      <c r="GQ60" s="29"/>
      <c r="GR60" s="29"/>
      <c r="GS60" s="29" t="s">
        <v>457</v>
      </c>
      <c r="GT60" s="29"/>
      <c r="GU60" s="29"/>
      <c r="GV60" s="29"/>
      <c r="GW60" s="29" t="s">
        <v>458</v>
      </c>
      <c r="GX60" s="29"/>
      <c r="GY60" s="29"/>
      <c r="GZ60" s="29"/>
      <c r="HA60" s="29" t="s">
        <v>457</v>
      </c>
      <c r="HB60" s="29"/>
      <c r="HC60" s="29"/>
      <c r="HD60" s="29"/>
      <c r="HE60" s="29" t="s">
        <v>458</v>
      </c>
      <c r="HF60" s="29"/>
      <c r="HG60" s="29"/>
      <c r="HH60" s="29"/>
      <c r="HI60" s="29" t="s">
        <v>457</v>
      </c>
      <c r="HJ60" s="29"/>
      <c r="HK60" s="29"/>
      <c r="HL60" s="29"/>
      <c r="HM60" s="29" t="s">
        <v>458</v>
      </c>
      <c r="HN60" s="29"/>
      <c r="HO60" s="29"/>
      <c r="HP60" s="29"/>
      <c r="HQ60" s="29" t="s">
        <v>457</v>
      </c>
      <c r="HR60" s="29"/>
      <c r="HS60" s="29"/>
      <c r="HT60" s="29"/>
      <c r="HU60" s="29" t="s">
        <v>458</v>
      </c>
      <c r="HV60" s="29"/>
      <c r="HW60" s="29"/>
      <c r="HX60" s="29"/>
      <c r="HY60" s="29" t="s">
        <v>457</v>
      </c>
      <c r="HZ60" s="29"/>
      <c r="IA60" s="29"/>
      <c r="IB60" s="29"/>
      <c r="IC60" s="29" t="s">
        <v>458</v>
      </c>
      <c r="ID60" s="29"/>
      <c r="IE60" s="29"/>
      <c r="IF60" s="29"/>
      <c r="IG60" s="29" t="s">
        <v>457</v>
      </c>
      <c r="IH60" s="29"/>
      <c r="II60" s="29"/>
      <c r="IJ60" s="29"/>
      <c r="IK60" s="29" t="s">
        <v>458</v>
      </c>
      <c r="IL60" s="29"/>
      <c r="IM60" s="29"/>
      <c r="IN60" s="29"/>
      <c r="IO60" s="29" t="s">
        <v>457</v>
      </c>
      <c r="IP60" s="29"/>
      <c r="IQ60" s="29"/>
      <c r="IR60" s="29"/>
      <c r="IS60" s="29" t="s">
        <v>458</v>
      </c>
      <c r="IT60" s="29"/>
      <c r="IU60" s="29"/>
      <c r="IV60" s="29"/>
    </row>
    <row r="61" spans="1:6" s="469" customFormat="1" ht="23.25" customHeight="1">
      <c r="A61" s="1659" t="str">
        <f>A1</f>
        <v>經濟部水利署第十河川局</v>
      </c>
      <c r="B61" s="1659"/>
      <c r="C61" s="1659"/>
      <c r="D61" s="1659"/>
      <c r="E61" s="1659"/>
      <c r="F61" s="1659"/>
    </row>
    <row r="62" spans="1:6" s="469" customFormat="1" ht="23.25" customHeight="1">
      <c r="A62" s="1659" t="s">
        <v>307</v>
      </c>
      <c r="B62" s="1659"/>
      <c r="C62" s="1659"/>
      <c r="D62" s="1659"/>
      <c r="E62" s="1659"/>
      <c r="F62" s="1659"/>
    </row>
    <row r="63" spans="1:6" s="469" customFormat="1" ht="23.25" customHeight="1">
      <c r="A63" s="1658" t="str">
        <f>A34</f>
        <v>工程名稱:基隆河整體治理計劃（前期計劃）瑞芳區塊介壽橋下游左右岸護岸工程</v>
      </c>
      <c r="B63" s="1658"/>
      <c r="C63" s="1658"/>
      <c r="D63" s="1658"/>
      <c r="E63" s="1658"/>
      <c r="F63" s="1658"/>
    </row>
    <row r="64" spans="1:6" s="469" customFormat="1" ht="23.25" customHeight="1" thickBot="1">
      <c r="A64" s="1660" t="str">
        <f>A35</f>
        <v>施工地點：台北縣瑞芳鎮</v>
      </c>
      <c r="B64" s="1660"/>
      <c r="C64" s="1660"/>
      <c r="D64" s="501"/>
      <c r="E64" s="1661" t="s">
        <v>311</v>
      </c>
      <c r="F64" s="1661"/>
    </row>
    <row r="65" spans="1:6" s="469" customFormat="1" ht="23.25" customHeight="1">
      <c r="A65" s="497" t="s">
        <v>478</v>
      </c>
      <c r="B65" s="498" t="s">
        <v>442</v>
      </c>
      <c r="C65" s="498" t="s">
        <v>439</v>
      </c>
      <c r="D65" s="498" t="s">
        <v>479</v>
      </c>
      <c r="E65" s="499" t="s">
        <v>440</v>
      </c>
      <c r="F65" s="500" t="s">
        <v>423</v>
      </c>
    </row>
    <row r="66" spans="1:6" s="469" customFormat="1" ht="24.75" customHeight="1">
      <c r="A66" s="502">
        <v>9</v>
      </c>
      <c r="B66" s="1336" t="str">
        <f>'第一號明細表'!A15</f>
        <v>乙種模型損耗(基礎用)</v>
      </c>
      <c r="C66" s="279" t="str">
        <f>'第一號明細表'!C15</f>
        <v>m2</v>
      </c>
      <c r="D66" s="1355" t="s">
        <v>1411</v>
      </c>
      <c r="E66" s="242">
        <f>81.1+793.9+635.5+456+420+396+300.5+50+1.1+0.5+68.6+6+305.71</f>
        <v>3515</v>
      </c>
      <c r="F66" s="1226" t="s">
        <v>1412</v>
      </c>
    </row>
    <row r="67" spans="1:6" s="469" customFormat="1" ht="24.75" customHeight="1">
      <c r="A67" s="502"/>
      <c r="B67" s="1333"/>
      <c r="C67" s="279"/>
      <c r="D67" s="1355" t="s">
        <v>78</v>
      </c>
      <c r="E67" s="242"/>
      <c r="F67" s="1226" t="s">
        <v>1386</v>
      </c>
    </row>
    <row r="68" spans="1:6" s="469" customFormat="1" ht="24.75" customHeight="1">
      <c r="A68" s="502"/>
      <c r="B68" s="1333"/>
      <c r="C68" s="279"/>
      <c r="D68" s="1355" t="s">
        <v>79</v>
      </c>
      <c r="E68" s="242"/>
      <c r="F68" s="1226" t="s">
        <v>1385</v>
      </c>
    </row>
    <row r="69" spans="1:6" s="469" customFormat="1" ht="24.75" customHeight="1">
      <c r="A69" s="502"/>
      <c r="B69" s="1333"/>
      <c r="C69" s="279"/>
      <c r="D69" s="1355" t="s">
        <v>80</v>
      </c>
      <c r="E69" s="242"/>
      <c r="F69" s="1226" t="s">
        <v>1384</v>
      </c>
    </row>
    <row r="70" spans="1:6" s="469" customFormat="1" ht="24.75" customHeight="1">
      <c r="A70" s="502"/>
      <c r="B70" s="1333"/>
      <c r="C70" s="279"/>
      <c r="D70" s="1355" t="s">
        <v>81</v>
      </c>
      <c r="E70" s="242"/>
      <c r="F70" s="1226" t="s">
        <v>1383</v>
      </c>
    </row>
    <row r="71" spans="1:6" s="469" customFormat="1" ht="24.75" customHeight="1">
      <c r="A71" s="502"/>
      <c r="B71" s="1333"/>
      <c r="C71" s="279"/>
      <c r="D71" s="1355" t="s">
        <v>82</v>
      </c>
      <c r="E71" s="242"/>
      <c r="F71" s="1226" t="s">
        <v>1382</v>
      </c>
    </row>
    <row r="72" spans="1:6" s="469" customFormat="1" ht="24.75" customHeight="1">
      <c r="A72" s="502"/>
      <c r="B72" s="1333"/>
      <c r="C72" s="279"/>
      <c r="D72" s="1355" t="s">
        <v>83</v>
      </c>
      <c r="E72" s="242"/>
      <c r="F72" s="1226" t="s">
        <v>1381</v>
      </c>
    </row>
    <row r="73" spans="1:6" s="469" customFormat="1" ht="24.75" customHeight="1">
      <c r="A73" s="502"/>
      <c r="B73" s="402"/>
      <c r="C73" s="279"/>
      <c r="D73" s="1355" t="s">
        <v>84</v>
      </c>
      <c r="E73" s="242"/>
      <c r="F73" s="1226" t="s">
        <v>1380</v>
      </c>
    </row>
    <row r="74" spans="1:6" s="469" customFormat="1" ht="24.75" customHeight="1">
      <c r="A74" s="502"/>
      <c r="B74" s="402"/>
      <c r="C74" s="279"/>
      <c r="D74" s="1355" t="s">
        <v>85</v>
      </c>
      <c r="E74" s="242"/>
      <c r="F74" s="1226" t="s">
        <v>1339</v>
      </c>
    </row>
    <row r="75" spans="1:6" s="469" customFormat="1" ht="24.75" customHeight="1">
      <c r="A75" s="502"/>
      <c r="B75" s="402"/>
      <c r="C75" s="279"/>
      <c r="D75" s="1355" t="s">
        <v>86</v>
      </c>
      <c r="E75" s="242"/>
      <c r="F75" s="1226" t="s">
        <v>1340</v>
      </c>
    </row>
    <row r="76" spans="1:6" s="469" customFormat="1" ht="24.75" customHeight="1">
      <c r="A76" s="502"/>
      <c r="B76" s="402"/>
      <c r="C76" s="279"/>
      <c r="D76" s="1355" t="s">
        <v>87</v>
      </c>
      <c r="E76" s="242"/>
      <c r="F76" s="1226" t="s">
        <v>1316</v>
      </c>
    </row>
    <row r="77" spans="1:6" s="469" customFormat="1" ht="24.75" customHeight="1">
      <c r="A77" s="502"/>
      <c r="B77" s="402"/>
      <c r="C77" s="279"/>
      <c r="D77" s="1355" t="s">
        <v>88</v>
      </c>
      <c r="E77" s="242"/>
      <c r="F77" s="1226" t="s">
        <v>1317</v>
      </c>
    </row>
    <row r="78" spans="1:6" s="469" customFormat="1" ht="24.75" customHeight="1">
      <c r="A78" s="502"/>
      <c r="B78" s="402"/>
      <c r="C78" s="279"/>
      <c r="D78" s="1355"/>
      <c r="E78" s="242"/>
      <c r="F78" s="1226"/>
    </row>
    <row r="79" spans="1:6" s="469" customFormat="1" ht="24.75" customHeight="1">
      <c r="A79" s="502">
        <v>10</v>
      </c>
      <c r="B79" s="1336" t="str">
        <f>'第一號明細表'!A16</f>
        <v>造型模板 </v>
      </c>
      <c r="C79" s="279" t="str">
        <f>'第一號明細表'!C16</f>
        <v>m2</v>
      </c>
      <c r="D79" s="1355" t="s">
        <v>89</v>
      </c>
      <c r="E79" s="242">
        <f>1141.3+913.6+630+564+504+358.7+2495</f>
        <v>6607</v>
      </c>
      <c r="F79" s="1226" t="s">
        <v>1311</v>
      </c>
    </row>
    <row r="80" spans="1:6" s="469" customFormat="1" ht="24.75" customHeight="1">
      <c r="A80" s="502"/>
      <c r="B80" s="402"/>
      <c r="C80" s="279"/>
      <c r="D80" s="1355" t="s">
        <v>90</v>
      </c>
      <c r="E80" s="242"/>
      <c r="F80" s="1226" t="s">
        <v>1296</v>
      </c>
    </row>
    <row r="81" spans="1:6" s="469" customFormat="1" ht="24.75" customHeight="1">
      <c r="A81" s="502"/>
      <c r="B81" s="402"/>
      <c r="C81" s="279"/>
      <c r="D81" s="1355" t="s">
        <v>91</v>
      </c>
      <c r="E81" s="242"/>
      <c r="F81" s="1226" t="s">
        <v>1297</v>
      </c>
    </row>
    <row r="82" spans="1:6" s="469" customFormat="1" ht="24.75" customHeight="1">
      <c r="A82" s="502"/>
      <c r="B82" s="402"/>
      <c r="C82" s="279"/>
      <c r="D82" s="1355" t="s">
        <v>92</v>
      </c>
      <c r="E82" s="242"/>
      <c r="F82" s="1226" t="s">
        <v>1298</v>
      </c>
    </row>
    <row r="83" spans="1:6" s="469" customFormat="1" ht="24.75" customHeight="1">
      <c r="A83" s="502"/>
      <c r="B83" s="402"/>
      <c r="C83" s="279"/>
      <c r="D83" s="1355" t="s">
        <v>93</v>
      </c>
      <c r="E83" s="242"/>
      <c r="F83" s="1226" t="s">
        <v>1299</v>
      </c>
    </row>
    <row r="84" spans="1:6" s="469" customFormat="1" ht="24.75" customHeight="1">
      <c r="A84" s="502"/>
      <c r="B84" s="402"/>
      <c r="C84" s="279"/>
      <c r="D84" s="1355" t="s">
        <v>94</v>
      </c>
      <c r="E84" s="242"/>
      <c r="F84" s="1226" t="s">
        <v>1300</v>
      </c>
    </row>
    <row r="85" spans="1:6" s="469" customFormat="1" ht="24.75" customHeight="1">
      <c r="A85" s="502"/>
      <c r="B85" s="402"/>
      <c r="C85" s="279"/>
      <c r="D85" s="1355" t="s">
        <v>95</v>
      </c>
      <c r="E85" s="242"/>
      <c r="F85" s="1226" t="s">
        <v>1301</v>
      </c>
    </row>
    <row r="86" spans="1:6" s="469" customFormat="1" ht="24.75" customHeight="1">
      <c r="A86" s="502"/>
      <c r="B86" s="402"/>
      <c r="C86" s="279"/>
      <c r="D86" s="1355"/>
      <c r="E86" s="242"/>
      <c r="F86" s="1226"/>
    </row>
    <row r="87" spans="1:6" s="469" customFormat="1" ht="24.75" customHeight="1" thickBot="1">
      <c r="A87" s="863"/>
      <c r="B87" s="1216"/>
      <c r="C87" s="734"/>
      <c r="D87" s="864"/>
      <c r="E87" s="735"/>
      <c r="F87" s="1302"/>
    </row>
    <row r="88" spans="1:256" s="469" customFormat="1" ht="23.25" customHeight="1">
      <c r="A88" s="844"/>
      <c r="B88" s="845"/>
      <c r="C88" s="846"/>
      <c r="D88" s="847"/>
      <c r="E88" s="848"/>
      <c r="F88" s="849"/>
      <c r="G88" s="850"/>
      <c r="H88" s="851"/>
      <c r="I88" s="844"/>
      <c r="J88" s="845"/>
      <c r="K88" s="846"/>
      <c r="L88" s="847"/>
      <c r="M88" s="848"/>
      <c r="N88" s="849"/>
      <c r="O88" s="850"/>
      <c r="P88" s="851"/>
      <c r="Q88" s="844"/>
      <c r="R88" s="845"/>
      <c r="S88" s="846"/>
      <c r="T88" s="847"/>
      <c r="U88" s="848"/>
      <c r="V88" s="849"/>
      <c r="W88" s="850"/>
      <c r="X88" s="851"/>
      <c r="Y88" s="844"/>
      <c r="Z88" s="845"/>
      <c r="AA88" s="846"/>
      <c r="AB88" s="847"/>
      <c r="AC88" s="848"/>
      <c r="AD88" s="849"/>
      <c r="AE88" s="850"/>
      <c r="AF88" s="851"/>
      <c r="AG88" s="844"/>
      <c r="AH88" s="845"/>
      <c r="AI88" s="846"/>
      <c r="AJ88" s="847"/>
      <c r="AK88" s="848"/>
      <c r="AL88" s="849"/>
      <c r="AM88" s="850"/>
      <c r="AN88" s="851"/>
      <c r="AO88" s="844"/>
      <c r="AP88" s="845"/>
      <c r="AQ88" s="846"/>
      <c r="AR88" s="847"/>
      <c r="AS88" s="848"/>
      <c r="AT88" s="849"/>
      <c r="AU88" s="850"/>
      <c r="AV88" s="851"/>
      <c r="AW88" s="844"/>
      <c r="AX88" s="845"/>
      <c r="AY88" s="846"/>
      <c r="AZ88" s="847"/>
      <c r="BA88" s="848"/>
      <c r="BB88" s="849"/>
      <c r="BC88" s="850"/>
      <c r="BD88" s="851"/>
      <c r="BE88" s="844"/>
      <c r="BF88" s="845"/>
      <c r="BG88" s="846"/>
      <c r="BH88" s="847"/>
      <c r="BI88" s="848"/>
      <c r="BJ88" s="849"/>
      <c r="BK88" s="850"/>
      <c r="BL88" s="851"/>
      <c r="BM88" s="844"/>
      <c r="BN88" s="845"/>
      <c r="BO88" s="846"/>
      <c r="BP88" s="847"/>
      <c r="BQ88" s="848"/>
      <c r="BR88" s="849"/>
      <c r="BS88" s="850"/>
      <c r="BT88" s="851"/>
      <c r="BU88" s="844"/>
      <c r="BV88" s="845"/>
      <c r="BW88" s="846"/>
      <c r="BX88" s="847"/>
      <c r="BY88" s="848"/>
      <c r="BZ88" s="849"/>
      <c r="CA88" s="850"/>
      <c r="CB88" s="851"/>
      <c r="CC88" s="844"/>
      <c r="CD88" s="845"/>
      <c r="CE88" s="846"/>
      <c r="CF88" s="847"/>
      <c r="CG88" s="848"/>
      <c r="CH88" s="849"/>
      <c r="CI88" s="850"/>
      <c r="CJ88" s="851"/>
      <c r="CK88" s="844"/>
      <c r="CL88" s="845"/>
      <c r="CM88" s="846"/>
      <c r="CN88" s="847"/>
      <c r="CO88" s="848"/>
      <c r="CP88" s="849"/>
      <c r="CQ88" s="850"/>
      <c r="CR88" s="851"/>
      <c r="CS88" s="844"/>
      <c r="CT88" s="845"/>
      <c r="CU88" s="846"/>
      <c r="CV88" s="847"/>
      <c r="CW88" s="848"/>
      <c r="CX88" s="849"/>
      <c r="CY88" s="850"/>
      <c r="CZ88" s="851"/>
      <c r="DA88" s="844"/>
      <c r="DB88" s="845"/>
      <c r="DC88" s="846"/>
      <c r="DD88" s="847"/>
      <c r="DE88" s="848"/>
      <c r="DF88" s="849"/>
      <c r="DG88" s="850"/>
      <c r="DH88" s="851"/>
      <c r="DI88" s="844"/>
      <c r="DJ88" s="845"/>
      <c r="DK88" s="846"/>
      <c r="DL88" s="847"/>
      <c r="DM88" s="848"/>
      <c r="DN88" s="849"/>
      <c r="DO88" s="850"/>
      <c r="DP88" s="851"/>
      <c r="DQ88" s="844"/>
      <c r="DR88" s="845"/>
      <c r="DS88" s="846"/>
      <c r="DT88" s="847"/>
      <c r="DU88" s="848"/>
      <c r="DV88" s="849"/>
      <c r="DW88" s="850"/>
      <c r="DX88" s="851"/>
      <c r="DY88" s="844"/>
      <c r="DZ88" s="845"/>
      <c r="EA88" s="846"/>
      <c r="EB88" s="847"/>
      <c r="EC88" s="848"/>
      <c r="ED88" s="849"/>
      <c r="EE88" s="850"/>
      <c r="EF88" s="851"/>
      <c r="EG88" s="844"/>
      <c r="EH88" s="845"/>
      <c r="EI88" s="846"/>
      <c r="EJ88" s="847"/>
      <c r="EK88" s="848"/>
      <c r="EL88" s="849"/>
      <c r="EM88" s="850"/>
      <c r="EN88" s="851"/>
      <c r="EO88" s="844"/>
      <c r="EP88" s="845"/>
      <c r="EQ88" s="846"/>
      <c r="ER88" s="847"/>
      <c r="ES88" s="848"/>
      <c r="ET88" s="849"/>
      <c r="EU88" s="850"/>
      <c r="EV88" s="851"/>
      <c r="EW88" s="844"/>
      <c r="EX88" s="845"/>
      <c r="EY88" s="846"/>
      <c r="EZ88" s="847"/>
      <c r="FA88" s="848"/>
      <c r="FB88" s="849"/>
      <c r="FC88" s="850"/>
      <c r="FD88" s="851"/>
      <c r="FE88" s="844"/>
      <c r="FF88" s="845"/>
      <c r="FG88" s="846"/>
      <c r="FH88" s="847"/>
      <c r="FI88" s="848"/>
      <c r="FJ88" s="849"/>
      <c r="FK88" s="850"/>
      <c r="FL88" s="851"/>
      <c r="FM88" s="844"/>
      <c r="FN88" s="845"/>
      <c r="FO88" s="846"/>
      <c r="FP88" s="847"/>
      <c r="FQ88" s="848"/>
      <c r="FR88" s="849"/>
      <c r="FS88" s="850"/>
      <c r="FT88" s="851"/>
      <c r="FU88" s="844"/>
      <c r="FV88" s="845"/>
      <c r="FW88" s="846"/>
      <c r="FX88" s="847"/>
      <c r="FY88" s="848"/>
      <c r="FZ88" s="849"/>
      <c r="GA88" s="850"/>
      <c r="GB88" s="851"/>
      <c r="GC88" s="844"/>
      <c r="GD88" s="845"/>
      <c r="GE88" s="846"/>
      <c r="GF88" s="847"/>
      <c r="GG88" s="848"/>
      <c r="GH88" s="849"/>
      <c r="GI88" s="850"/>
      <c r="GJ88" s="851"/>
      <c r="GK88" s="844"/>
      <c r="GL88" s="845"/>
      <c r="GM88" s="846"/>
      <c r="GN88" s="847"/>
      <c r="GO88" s="848"/>
      <c r="GP88" s="849"/>
      <c r="GQ88" s="850"/>
      <c r="GR88" s="851"/>
      <c r="GS88" s="844"/>
      <c r="GT88" s="845"/>
      <c r="GU88" s="846"/>
      <c r="GV88" s="847"/>
      <c r="GW88" s="848"/>
      <c r="GX88" s="849"/>
      <c r="GY88" s="850"/>
      <c r="GZ88" s="851"/>
      <c r="HA88" s="844"/>
      <c r="HB88" s="845"/>
      <c r="HC88" s="846"/>
      <c r="HD88" s="847"/>
      <c r="HE88" s="848"/>
      <c r="HF88" s="849"/>
      <c r="HG88" s="850"/>
      <c r="HH88" s="851"/>
      <c r="HI88" s="844"/>
      <c r="HJ88" s="845"/>
      <c r="HK88" s="846"/>
      <c r="HL88" s="847"/>
      <c r="HM88" s="848"/>
      <c r="HN88" s="849"/>
      <c r="HO88" s="850"/>
      <c r="HP88" s="851"/>
      <c r="HQ88" s="844"/>
      <c r="HR88" s="845"/>
      <c r="HS88" s="846"/>
      <c r="HT88" s="847"/>
      <c r="HU88" s="848"/>
      <c r="HV88" s="849"/>
      <c r="HW88" s="850"/>
      <c r="HX88" s="851"/>
      <c r="HY88" s="844"/>
      <c r="HZ88" s="845"/>
      <c r="IA88" s="846"/>
      <c r="IB88" s="847"/>
      <c r="IC88" s="848"/>
      <c r="ID88" s="849"/>
      <c r="IE88" s="850"/>
      <c r="IF88" s="851"/>
      <c r="IG88" s="844"/>
      <c r="IH88" s="845"/>
      <c r="II88" s="846"/>
      <c r="IJ88" s="847"/>
      <c r="IK88" s="848"/>
      <c r="IL88" s="849"/>
      <c r="IM88" s="850"/>
      <c r="IN88" s="851"/>
      <c r="IO88" s="844"/>
      <c r="IP88" s="845"/>
      <c r="IQ88" s="846"/>
      <c r="IR88" s="847"/>
      <c r="IS88" s="848"/>
      <c r="IT88" s="849"/>
      <c r="IU88" s="850"/>
      <c r="IV88" s="851"/>
    </row>
    <row r="89" spans="1:256" s="469" customFormat="1" ht="23.25" customHeight="1">
      <c r="A89" s="29" t="s">
        <v>457</v>
      </c>
      <c r="B89" s="29"/>
      <c r="C89" s="29"/>
      <c r="D89" s="29"/>
      <c r="E89" s="29" t="s">
        <v>458</v>
      </c>
      <c r="F89" s="29"/>
      <c r="G89" s="29"/>
      <c r="H89" s="29"/>
      <c r="I89" s="29" t="s">
        <v>457</v>
      </c>
      <c r="J89" s="29"/>
      <c r="K89" s="29"/>
      <c r="L89" s="29"/>
      <c r="M89" s="29" t="s">
        <v>458</v>
      </c>
      <c r="N89" s="29"/>
      <c r="O89" s="29"/>
      <c r="P89" s="29"/>
      <c r="Q89" s="29" t="s">
        <v>457</v>
      </c>
      <c r="R89" s="29"/>
      <c r="S89" s="29"/>
      <c r="T89" s="29"/>
      <c r="U89" s="29" t="s">
        <v>458</v>
      </c>
      <c r="V89" s="29"/>
      <c r="W89" s="29"/>
      <c r="X89" s="29"/>
      <c r="Y89" s="29" t="s">
        <v>457</v>
      </c>
      <c r="Z89" s="29"/>
      <c r="AA89" s="29"/>
      <c r="AB89" s="29"/>
      <c r="AC89" s="29" t="s">
        <v>458</v>
      </c>
      <c r="AD89" s="29"/>
      <c r="AE89" s="29"/>
      <c r="AF89" s="29"/>
      <c r="AG89" s="29" t="s">
        <v>457</v>
      </c>
      <c r="AH89" s="29"/>
      <c r="AI89" s="29"/>
      <c r="AJ89" s="29"/>
      <c r="AK89" s="29" t="s">
        <v>458</v>
      </c>
      <c r="AL89" s="29"/>
      <c r="AM89" s="29"/>
      <c r="AN89" s="29"/>
      <c r="AO89" s="29" t="s">
        <v>457</v>
      </c>
      <c r="AP89" s="29"/>
      <c r="AQ89" s="29"/>
      <c r="AR89" s="29"/>
      <c r="AS89" s="29" t="s">
        <v>458</v>
      </c>
      <c r="AT89" s="29"/>
      <c r="AU89" s="29"/>
      <c r="AV89" s="29"/>
      <c r="AW89" s="29" t="s">
        <v>457</v>
      </c>
      <c r="AX89" s="29"/>
      <c r="AY89" s="29"/>
      <c r="AZ89" s="29"/>
      <c r="BA89" s="29" t="s">
        <v>458</v>
      </c>
      <c r="BB89" s="29"/>
      <c r="BC89" s="29"/>
      <c r="BD89" s="29"/>
      <c r="BE89" s="29" t="s">
        <v>457</v>
      </c>
      <c r="BF89" s="29"/>
      <c r="BG89" s="29"/>
      <c r="BH89" s="29"/>
      <c r="BI89" s="29" t="s">
        <v>458</v>
      </c>
      <c r="BJ89" s="29"/>
      <c r="BK89" s="29"/>
      <c r="BL89" s="29"/>
      <c r="BM89" s="29" t="s">
        <v>457</v>
      </c>
      <c r="BN89" s="29"/>
      <c r="BO89" s="29"/>
      <c r="BP89" s="29"/>
      <c r="BQ89" s="29" t="s">
        <v>458</v>
      </c>
      <c r="BR89" s="29"/>
      <c r="BS89" s="29"/>
      <c r="BT89" s="29"/>
      <c r="BU89" s="29" t="s">
        <v>457</v>
      </c>
      <c r="BV89" s="29"/>
      <c r="BW89" s="29"/>
      <c r="BX89" s="29"/>
      <c r="BY89" s="29" t="s">
        <v>458</v>
      </c>
      <c r="BZ89" s="29"/>
      <c r="CA89" s="29"/>
      <c r="CB89" s="29"/>
      <c r="CC89" s="29" t="s">
        <v>457</v>
      </c>
      <c r="CD89" s="29"/>
      <c r="CE89" s="29"/>
      <c r="CF89" s="29"/>
      <c r="CG89" s="29" t="s">
        <v>458</v>
      </c>
      <c r="CH89" s="29"/>
      <c r="CI89" s="29"/>
      <c r="CJ89" s="29"/>
      <c r="CK89" s="29" t="s">
        <v>457</v>
      </c>
      <c r="CL89" s="29"/>
      <c r="CM89" s="29"/>
      <c r="CN89" s="29"/>
      <c r="CO89" s="29" t="s">
        <v>458</v>
      </c>
      <c r="CP89" s="29"/>
      <c r="CQ89" s="29"/>
      <c r="CR89" s="29"/>
      <c r="CS89" s="29" t="s">
        <v>457</v>
      </c>
      <c r="CT89" s="29"/>
      <c r="CU89" s="29"/>
      <c r="CV89" s="29"/>
      <c r="CW89" s="29" t="s">
        <v>458</v>
      </c>
      <c r="CX89" s="29"/>
      <c r="CY89" s="29"/>
      <c r="CZ89" s="29"/>
      <c r="DA89" s="29" t="s">
        <v>457</v>
      </c>
      <c r="DB89" s="29"/>
      <c r="DC89" s="29"/>
      <c r="DD89" s="29"/>
      <c r="DE89" s="29" t="s">
        <v>458</v>
      </c>
      <c r="DF89" s="29"/>
      <c r="DG89" s="29"/>
      <c r="DH89" s="29"/>
      <c r="DI89" s="29" t="s">
        <v>457</v>
      </c>
      <c r="DJ89" s="29"/>
      <c r="DK89" s="29"/>
      <c r="DL89" s="29"/>
      <c r="DM89" s="29" t="s">
        <v>458</v>
      </c>
      <c r="DN89" s="29"/>
      <c r="DO89" s="29"/>
      <c r="DP89" s="29"/>
      <c r="DQ89" s="29" t="s">
        <v>457</v>
      </c>
      <c r="DR89" s="29"/>
      <c r="DS89" s="29"/>
      <c r="DT89" s="29"/>
      <c r="DU89" s="29" t="s">
        <v>458</v>
      </c>
      <c r="DV89" s="29"/>
      <c r="DW89" s="29"/>
      <c r="DX89" s="29"/>
      <c r="DY89" s="29" t="s">
        <v>457</v>
      </c>
      <c r="DZ89" s="29"/>
      <c r="EA89" s="29"/>
      <c r="EB89" s="29"/>
      <c r="EC89" s="29" t="s">
        <v>458</v>
      </c>
      <c r="ED89" s="29"/>
      <c r="EE89" s="29"/>
      <c r="EF89" s="29"/>
      <c r="EG89" s="29" t="s">
        <v>457</v>
      </c>
      <c r="EH89" s="29"/>
      <c r="EI89" s="29"/>
      <c r="EJ89" s="29"/>
      <c r="EK89" s="29" t="s">
        <v>458</v>
      </c>
      <c r="EL89" s="29"/>
      <c r="EM89" s="29"/>
      <c r="EN89" s="29"/>
      <c r="EO89" s="29" t="s">
        <v>457</v>
      </c>
      <c r="EP89" s="29"/>
      <c r="EQ89" s="29"/>
      <c r="ER89" s="29"/>
      <c r="ES89" s="29" t="s">
        <v>458</v>
      </c>
      <c r="ET89" s="29"/>
      <c r="EU89" s="29"/>
      <c r="EV89" s="29"/>
      <c r="EW89" s="29" t="s">
        <v>457</v>
      </c>
      <c r="EX89" s="29"/>
      <c r="EY89" s="29"/>
      <c r="EZ89" s="29"/>
      <c r="FA89" s="29" t="s">
        <v>458</v>
      </c>
      <c r="FB89" s="29"/>
      <c r="FC89" s="29"/>
      <c r="FD89" s="29"/>
      <c r="FE89" s="29" t="s">
        <v>457</v>
      </c>
      <c r="FF89" s="29"/>
      <c r="FG89" s="29"/>
      <c r="FH89" s="29"/>
      <c r="FI89" s="29" t="s">
        <v>458</v>
      </c>
      <c r="FJ89" s="29"/>
      <c r="FK89" s="29"/>
      <c r="FL89" s="29"/>
      <c r="FM89" s="29" t="s">
        <v>457</v>
      </c>
      <c r="FN89" s="29"/>
      <c r="FO89" s="29"/>
      <c r="FP89" s="29"/>
      <c r="FQ89" s="29" t="s">
        <v>458</v>
      </c>
      <c r="FR89" s="29"/>
      <c r="FS89" s="29"/>
      <c r="FT89" s="29"/>
      <c r="FU89" s="29" t="s">
        <v>457</v>
      </c>
      <c r="FV89" s="29"/>
      <c r="FW89" s="29"/>
      <c r="FX89" s="29"/>
      <c r="FY89" s="29" t="s">
        <v>458</v>
      </c>
      <c r="FZ89" s="29"/>
      <c r="GA89" s="29"/>
      <c r="GB89" s="29"/>
      <c r="GC89" s="29" t="s">
        <v>457</v>
      </c>
      <c r="GD89" s="29"/>
      <c r="GE89" s="29"/>
      <c r="GF89" s="29"/>
      <c r="GG89" s="29" t="s">
        <v>458</v>
      </c>
      <c r="GH89" s="29"/>
      <c r="GI89" s="29"/>
      <c r="GJ89" s="29"/>
      <c r="GK89" s="29" t="s">
        <v>457</v>
      </c>
      <c r="GL89" s="29"/>
      <c r="GM89" s="29"/>
      <c r="GN89" s="29"/>
      <c r="GO89" s="29" t="s">
        <v>458</v>
      </c>
      <c r="GP89" s="29"/>
      <c r="GQ89" s="29"/>
      <c r="GR89" s="29"/>
      <c r="GS89" s="29" t="s">
        <v>457</v>
      </c>
      <c r="GT89" s="29"/>
      <c r="GU89" s="29"/>
      <c r="GV89" s="29"/>
      <c r="GW89" s="29" t="s">
        <v>458</v>
      </c>
      <c r="GX89" s="29"/>
      <c r="GY89" s="29"/>
      <c r="GZ89" s="29"/>
      <c r="HA89" s="29" t="s">
        <v>457</v>
      </c>
      <c r="HB89" s="29"/>
      <c r="HC89" s="29"/>
      <c r="HD89" s="29"/>
      <c r="HE89" s="29" t="s">
        <v>458</v>
      </c>
      <c r="HF89" s="29"/>
      <c r="HG89" s="29"/>
      <c r="HH89" s="29"/>
      <c r="HI89" s="29" t="s">
        <v>457</v>
      </c>
      <c r="HJ89" s="29"/>
      <c r="HK89" s="29"/>
      <c r="HL89" s="29"/>
      <c r="HM89" s="29" t="s">
        <v>458</v>
      </c>
      <c r="HN89" s="29"/>
      <c r="HO89" s="29"/>
      <c r="HP89" s="29"/>
      <c r="HQ89" s="29" t="s">
        <v>457</v>
      </c>
      <c r="HR89" s="29"/>
      <c r="HS89" s="29"/>
      <c r="HT89" s="29"/>
      <c r="HU89" s="29" t="s">
        <v>458</v>
      </c>
      <c r="HV89" s="29"/>
      <c r="HW89" s="29"/>
      <c r="HX89" s="29"/>
      <c r="HY89" s="29" t="s">
        <v>457</v>
      </c>
      <c r="HZ89" s="29"/>
      <c r="IA89" s="29"/>
      <c r="IB89" s="29"/>
      <c r="IC89" s="29" t="s">
        <v>458</v>
      </c>
      <c r="ID89" s="29"/>
      <c r="IE89" s="29"/>
      <c r="IF89" s="29"/>
      <c r="IG89" s="29" t="s">
        <v>457</v>
      </c>
      <c r="IH89" s="29"/>
      <c r="II89" s="29"/>
      <c r="IJ89" s="29"/>
      <c r="IK89" s="29" t="s">
        <v>458</v>
      </c>
      <c r="IL89" s="29"/>
      <c r="IM89" s="29"/>
      <c r="IN89" s="29"/>
      <c r="IO89" s="29" t="s">
        <v>457</v>
      </c>
      <c r="IP89" s="29"/>
      <c r="IQ89" s="29"/>
      <c r="IR89" s="29"/>
      <c r="IS89" s="29" t="s">
        <v>458</v>
      </c>
      <c r="IT89" s="29"/>
      <c r="IU89" s="29"/>
      <c r="IV89" s="29"/>
    </row>
    <row r="90" spans="1:6" s="469" customFormat="1" ht="23.25" customHeight="1">
      <c r="A90" s="1659" t="str">
        <f>A32</f>
        <v>經濟部水利署第十河川局</v>
      </c>
      <c r="B90" s="1659"/>
      <c r="C90" s="1659"/>
      <c r="D90" s="1659"/>
      <c r="E90" s="1659"/>
      <c r="F90" s="1659"/>
    </row>
    <row r="91" spans="1:6" s="469" customFormat="1" ht="23.25" customHeight="1">
      <c r="A91" s="1659" t="s">
        <v>307</v>
      </c>
      <c r="B91" s="1659"/>
      <c r="C91" s="1659"/>
      <c r="D91" s="1659"/>
      <c r="E91" s="1659"/>
      <c r="F91" s="1659"/>
    </row>
    <row r="92" spans="1:6" s="469" customFormat="1" ht="23.25" customHeight="1">
      <c r="A92" s="1658" t="str">
        <f>A63</f>
        <v>工程名稱:基隆河整體治理計劃（前期計劃）瑞芳區塊介壽橋下游左右岸護岸工程</v>
      </c>
      <c r="B92" s="1658"/>
      <c r="C92" s="1658"/>
      <c r="D92" s="1658"/>
      <c r="E92" s="1658"/>
      <c r="F92" s="1658"/>
    </row>
    <row r="93" spans="1:6" s="469" customFormat="1" ht="23.25" customHeight="1" thickBot="1">
      <c r="A93" s="1660" t="str">
        <f>A64</f>
        <v>施工地點：台北縣瑞芳鎮</v>
      </c>
      <c r="B93" s="1660"/>
      <c r="C93" s="1660"/>
      <c r="D93" s="501"/>
      <c r="E93" s="1661" t="s">
        <v>1404</v>
      </c>
      <c r="F93" s="1661"/>
    </row>
    <row r="94" spans="1:6" s="469" customFormat="1" ht="23.25" customHeight="1">
      <c r="A94" s="497" t="s">
        <v>478</v>
      </c>
      <c r="B94" s="498" t="s">
        <v>442</v>
      </c>
      <c r="C94" s="498" t="s">
        <v>439</v>
      </c>
      <c r="D94" s="498" t="s">
        <v>479</v>
      </c>
      <c r="E94" s="499" t="s">
        <v>440</v>
      </c>
      <c r="F94" s="500" t="s">
        <v>423</v>
      </c>
    </row>
    <row r="95" spans="1:6" s="469" customFormat="1" ht="30" customHeight="1">
      <c r="A95" s="502">
        <v>11</v>
      </c>
      <c r="B95" s="402" t="str">
        <f>'第一號明細表'!A17</f>
        <v>鋼筋及加工組立</v>
      </c>
      <c r="C95" s="279" t="str">
        <f>'第一號明細表'!C17</f>
        <v>噸</v>
      </c>
      <c r="D95" s="1354" t="s">
        <v>1413</v>
      </c>
      <c r="E95" s="242">
        <f>232.67+186.25+109.02+88.72+76.54+51.1+335.89+6.22+1.98+258.84+22.65+2.13</f>
        <v>1372</v>
      </c>
      <c r="F95" s="1226" t="s">
        <v>217</v>
      </c>
    </row>
    <row r="96" spans="1:6" s="469" customFormat="1" ht="30" customHeight="1">
      <c r="A96" s="502"/>
      <c r="B96" s="402"/>
      <c r="C96" s="279"/>
      <c r="D96" s="1354" t="s">
        <v>1414</v>
      </c>
      <c r="E96" s="242"/>
      <c r="F96" s="1226" t="s">
        <v>216</v>
      </c>
    </row>
    <row r="97" spans="1:6" s="469" customFormat="1" ht="30" customHeight="1">
      <c r="A97" s="502"/>
      <c r="B97" s="402"/>
      <c r="C97" s="279"/>
      <c r="D97" s="1354" t="s">
        <v>1415</v>
      </c>
      <c r="E97" s="242"/>
      <c r="F97" s="1226" t="s">
        <v>215</v>
      </c>
    </row>
    <row r="98" spans="1:6" s="469" customFormat="1" ht="30" customHeight="1">
      <c r="A98" s="502"/>
      <c r="B98" s="402"/>
      <c r="C98" s="279"/>
      <c r="D98" s="1354" t="s">
        <v>1416</v>
      </c>
      <c r="E98" s="242"/>
      <c r="F98" s="1226" t="s">
        <v>214</v>
      </c>
    </row>
    <row r="99" spans="1:6" s="469" customFormat="1" ht="30" customHeight="1">
      <c r="A99" s="502"/>
      <c r="B99" s="402"/>
      <c r="C99" s="279"/>
      <c r="D99" s="1354" t="s">
        <v>1417</v>
      </c>
      <c r="E99" s="242"/>
      <c r="F99" s="1226" t="s">
        <v>213</v>
      </c>
    </row>
    <row r="100" spans="1:6" s="469" customFormat="1" ht="30" customHeight="1">
      <c r="A100" s="502"/>
      <c r="B100" s="402"/>
      <c r="C100" s="279"/>
      <c r="D100" s="1354" t="s">
        <v>1418</v>
      </c>
      <c r="E100" s="242"/>
      <c r="F100" s="1226" t="s">
        <v>212</v>
      </c>
    </row>
    <row r="101" spans="1:6" s="469" customFormat="1" ht="30" customHeight="1">
      <c r="A101" s="502"/>
      <c r="B101" s="402"/>
      <c r="C101" s="279"/>
      <c r="D101" s="1354" t="s">
        <v>1419</v>
      </c>
      <c r="E101" s="242"/>
      <c r="F101" s="1226" t="s">
        <v>1388</v>
      </c>
    </row>
    <row r="102" spans="1:6" s="469" customFormat="1" ht="30" customHeight="1">
      <c r="A102" s="502"/>
      <c r="B102" s="402"/>
      <c r="C102" s="279"/>
      <c r="D102" s="1354" t="s">
        <v>1420</v>
      </c>
      <c r="E102" s="242"/>
      <c r="F102" s="1226" t="s">
        <v>1339</v>
      </c>
    </row>
    <row r="103" spans="1:6" s="469" customFormat="1" ht="30" customHeight="1">
      <c r="A103" s="502"/>
      <c r="B103" s="402"/>
      <c r="C103" s="279"/>
      <c r="D103" s="1354" t="s">
        <v>1421</v>
      </c>
      <c r="E103" s="242"/>
      <c r="F103" s="1226" t="s">
        <v>1340</v>
      </c>
    </row>
    <row r="104" spans="1:6" s="469" customFormat="1" ht="30" customHeight="1">
      <c r="A104" s="502"/>
      <c r="B104" s="402"/>
      <c r="C104" s="279"/>
      <c r="D104" s="1354" t="s">
        <v>1422</v>
      </c>
      <c r="E104" s="242"/>
      <c r="F104" s="1226" t="s">
        <v>1316</v>
      </c>
    </row>
    <row r="105" spans="1:6" s="469" customFormat="1" ht="30" customHeight="1">
      <c r="A105" s="502"/>
      <c r="B105" s="402"/>
      <c r="C105" s="279"/>
      <c r="D105" s="1354" t="s">
        <v>1423</v>
      </c>
      <c r="E105" s="242"/>
      <c r="F105" s="1226" t="s">
        <v>1317</v>
      </c>
    </row>
    <row r="106" spans="1:6" s="469" customFormat="1" ht="30" customHeight="1">
      <c r="A106" s="502"/>
      <c r="B106" s="402"/>
      <c r="C106" s="279"/>
      <c r="D106" s="1354" t="s">
        <v>1424</v>
      </c>
      <c r="E106" s="242"/>
      <c r="F106" s="1226" t="s">
        <v>312</v>
      </c>
    </row>
    <row r="107" spans="1:6" s="469" customFormat="1" ht="24.75" customHeight="1">
      <c r="A107" s="502"/>
      <c r="B107" s="402"/>
      <c r="C107" s="279"/>
      <c r="D107" s="1227"/>
      <c r="E107" s="242"/>
      <c r="F107" s="1226"/>
    </row>
    <row r="108" spans="1:6" s="469" customFormat="1" ht="24.75" customHeight="1">
      <c r="A108" s="502">
        <v>12</v>
      </c>
      <c r="B108" s="1336" t="str">
        <f>'第一號明細表'!A18</f>
        <v>鋼模損耗及折舊</v>
      </c>
      <c r="C108" s="279" t="str">
        <f>'第一號明細表'!C18</f>
        <v>m2</v>
      </c>
      <c r="D108" s="1355" t="s">
        <v>218</v>
      </c>
      <c r="E108" s="242">
        <f>1191+953.3+660+600+540+387.8</f>
        <v>4332</v>
      </c>
      <c r="F108" s="1226" t="s">
        <v>217</v>
      </c>
    </row>
    <row r="109" spans="1:6" s="469" customFormat="1" ht="24.75" customHeight="1">
      <c r="A109" s="502"/>
      <c r="B109" s="402"/>
      <c r="C109" s="279"/>
      <c r="D109" s="1355" t="s">
        <v>96</v>
      </c>
      <c r="E109" s="242"/>
      <c r="F109" s="1226" t="s">
        <v>216</v>
      </c>
    </row>
    <row r="110" spans="1:6" s="469" customFormat="1" ht="24.75" customHeight="1">
      <c r="A110" s="502"/>
      <c r="B110" s="402"/>
      <c r="C110" s="279"/>
      <c r="D110" s="1355" t="s">
        <v>97</v>
      </c>
      <c r="E110" s="242"/>
      <c r="F110" s="1226" t="s">
        <v>215</v>
      </c>
    </row>
    <row r="111" spans="1:6" s="469" customFormat="1" ht="24.75" customHeight="1">
      <c r="A111" s="502"/>
      <c r="B111" s="402"/>
      <c r="C111" s="279"/>
      <c r="D111" s="1355" t="s">
        <v>98</v>
      </c>
      <c r="E111" s="242"/>
      <c r="F111" s="1226" t="s">
        <v>214</v>
      </c>
    </row>
    <row r="112" spans="1:6" s="469" customFormat="1" ht="24.75" customHeight="1">
      <c r="A112" s="502"/>
      <c r="B112" s="402"/>
      <c r="C112" s="279"/>
      <c r="D112" s="1355" t="s">
        <v>99</v>
      </c>
      <c r="E112" s="242"/>
      <c r="F112" s="1226" t="s">
        <v>213</v>
      </c>
    </row>
    <row r="113" spans="1:6" s="469" customFormat="1" ht="24.75" customHeight="1">
      <c r="A113" s="1357"/>
      <c r="B113" s="1358"/>
      <c r="C113" s="1359"/>
      <c r="D113" s="1360" t="s">
        <v>219</v>
      </c>
      <c r="E113" s="1361"/>
      <c r="F113" s="1362" t="s">
        <v>212</v>
      </c>
    </row>
    <row r="114" spans="1:256" s="469" customFormat="1" ht="23.25" customHeight="1" thickBot="1">
      <c r="A114" s="1363"/>
      <c r="B114" s="1364"/>
      <c r="C114" s="1365"/>
      <c r="D114" s="1366"/>
      <c r="E114" s="1367"/>
      <c r="F114" s="1368"/>
      <c r="G114" s="850"/>
      <c r="H114" s="851"/>
      <c r="I114" s="844"/>
      <c r="J114" s="845"/>
      <c r="K114" s="846"/>
      <c r="L114" s="847"/>
      <c r="M114" s="848"/>
      <c r="N114" s="849"/>
      <c r="O114" s="850"/>
      <c r="P114" s="851"/>
      <c r="Q114" s="844"/>
      <c r="R114" s="845"/>
      <c r="S114" s="846"/>
      <c r="T114" s="847"/>
      <c r="U114" s="848"/>
      <c r="V114" s="849"/>
      <c r="W114" s="850"/>
      <c r="X114" s="851"/>
      <c r="Y114" s="844"/>
      <c r="Z114" s="845"/>
      <c r="AA114" s="846"/>
      <c r="AB114" s="847"/>
      <c r="AC114" s="848"/>
      <c r="AD114" s="849"/>
      <c r="AE114" s="850"/>
      <c r="AF114" s="851"/>
      <c r="AG114" s="844"/>
      <c r="AH114" s="845"/>
      <c r="AI114" s="846"/>
      <c r="AJ114" s="847"/>
      <c r="AK114" s="848"/>
      <c r="AL114" s="849"/>
      <c r="AM114" s="850"/>
      <c r="AN114" s="851"/>
      <c r="AO114" s="844"/>
      <c r="AP114" s="845"/>
      <c r="AQ114" s="846"/>
      <c r="AR114" s="847"/>
      <c r="AS114" s="848"/>
      <c r="AT114" s="849"/>
      <c r="AU114" s="850"/>
      <c r="AV114" s="851"/>
      <c r="AW114" s="844"/>
      <c r="AX114" s="845"/>
      <c r="AY114" s="846"/>
      <c r="AZ114" s="847"/>
      <c r="BA114" s="848"/>
      <c r="BB114" s="849"/>
      <c r="BC114" s="850"/>
      <c r="BD114" s="851"/>
      <c r="BE114" s="844"/>
      <c r="BF114" s="845"/>
      <c r="BG114" s="846"/>
      <c r="BH114" s="847"/>
      <c r="BI114" s="848"/>
      <c r="BJ114" s="849"/>
      <c r="BK114" s="850"/>
      <c r="BL114" s="851"/>
      <c r="BM114" s="844"/>
      <c r="BN114" s="845"/>
      <c r="BO114" s="846"/>
      <c r="BP114" s="847"/>
      <c r="BQ114" s="848"/>
      <c r="BR114" s="849"/>
      <c r="BS114" s="850"/>
      <c r="BT114" s="851"/>
      <c r="BU114" s="844"/>
      <c r="BV114" s="845"/>
      <c r="BW114" s="846"/>
      <c r="BX114" s="847"/>
      <c r="BY114" s="848"/>
      <c r="BZ114" s="849"/>
      <c r="CA114" s="850"/>
      <c r="CB114" s="851"/>
      <c r="CC114" s="844"/>
      <c r="CD114" s="845"/>
      <c r="CE114" s="846"/>
      <c r="CF114" s="847"/>
      <c r="CG114" s="848"/>
      <c r="CH114" s="849"/>
      <c r="CI114" s="850"/>
      <c r="CJ114" s="851"/>
      <c r="CK114" s="844"/>
      <c r="CL114" s="845"/>
      <c r="CM114" s="846"/>
      <c r="CN114" s="847"/>
      <c r="CO114" s="848"/>
      <c r="CP114" s="849"/>
      <c r="CQ114" s="850"/>
      <c r="CR114" s="851"/>
      <c r="CS114" s="844"/>
      <c r="CT114" s="845"/>
      <c r="CU114" s="846"/>
      <c r="CV114" s="847"/>
      <c r="CW114" s="848"/>
      <c r="CX114" s="849"/>
      <c r="CY114" s="850"/>
      <c r="CZ114" s="851"/>
      <c r="DA114" s="844"/>
      <c r="DB114" s="845"/>
      <c r="DC114" s="846"/>
      <c r="DD114" s="847"/>
      <c r="DE114" s="848"/>
      <c r="DF114" s="849"/>
      <c r="DG114" s="850"/>
      <c r="DH114" s="851"/>
      <c r="DI114" s="844"/>
      <c r="DJ114" s="845"/>
      <c r="DK114" s="846"/>
      <c r="DL114" s="847"/>
      <c r="DM114" s="848"/>
      <c r="DN114" s="849"/>
      <c r="DO114" s="850"/>
      <c r="DP114" s="851"/>
      <c r="DQ114" s="844"/>
      <c r="DR114" s="845"/>
      <c r="DS114" s="846"/>
      <c r="DT114" s="847"/>
      <c r="DU114" s="848"/>
      <c r="DV114" s="849"/>
      <c r="DW114" s="850"/>
      <c r="DX114" s="851"/>
      <c r="DY114" s="844"/>
      <c r="DZ114" s="845"/>
      <c r="EA114" s="846"/>
      <c r="EB114" s="847"/>
      <c r="EC114" s="848"/>
      <c r="ED114" s="849"/>
      <c r="EE114" s="850"/>
      <c r="EF114" s="851"/>
      <c r="EG114" s="844"/>
      <c r="EH114" s="845"/>
      <c r="EI114" s="846"/>
      <c r="EJ114" s="847"/>
      <c r="EK114" s="848"/>
      <c r="EL114" s="849"/>
      <c r="EM114" s="850"/>
      <c r="EN114" s="851"/>
      <c r="EO114" s="844"/>
      <c r="EP114" s="845"/>
      <c r="EQ114" s="846"/>
      <c r="ER114" s="847"/>
      <c r="ES114" s="848"/>
      <c r="ET114" s="849"/>
      <c r="EU114" s="850"/>
      <c r="EV114" s="851"/>
      <c r="EW114" s="844"/>
      <c r="EX114" s="845"/>
      <c r="EY114" s="846"/>
      <c r="EZ114" s="847"/>
      <c r="FA114" s="848"/>
      <c r="FB114" s="849"/>
      <c r="FC114" s="850"/>
      <c r="FD114" s="851"/>
      <c r="FE114" s="844"/>
      <c r="FF114" s="845"/>
      <c r="FG114" s="846"/>
      <c r="FH114" s="847"/>
      <c r="FI114" s="848"/>
      <c r="FJ114" s="849"/>
      <c r="FK114" s="850"/>
      <c r="FL114" s="851"/>
      <c r="FM114" s="844"/>
      <c r="FN114" s="845"/>
      <c r="FO114" s="846"/>
      <c r="FP114" s="847"/>
      <c r="FQ114" s="848"/>
      <c r="FR114" s="849"/>
      <c r="FS114" s="850"/>
      <c r="FT114" s="851"/>
      <c r="FU114" s="844"/>
      <c r="FV114" s="845"/>
      <c r="FW114" s="846"/>
      <c r="FX114" s="847"/>
      <c r="FY114" s="848"/>
      <c r="FZ114" s="849"/>
      <c r="GA114" s="850"/>
      <c r="GB114" s="851"/>
      <c r="GC114" s="844"/>
      <c r="GD114" s="845"/>
      <c r="GE114" s="846"/>
      <c r="GF114" s="847"/>
      <c r="GG114" s="848"/>
      <c r="GH114" s="849"/>
      <c r="GI114" s="850"/>
      <c r="GJ114" s="851"/>
      <c r="GK114" s="844"/>
      <c r="GL114" s="845"/>
      <c r="GM114" s="846"/>
      <c r="GN114" s="847"/>
      <c r="GO114" s="848"/>
      <c r="GP114" s="849"/>
      <c r="GQ114" s="850"/>
      <c r="GR114" s="851"/>
      <c r="GS114" s="844"/>
      <c r="GT114" s="845"/>
      <c r="GU114" s="846"/>
      <c r="GV114" s="847"/>
      <c r="GW114" s="848"/>
      <c r="GX114" s="849"/>
      <c r="GY114" s="850"/>
      <c r="GZ114" s="851"/>
      <c r="HA114" s="844"/>
      <c r="HB114" s="845"/>
      <c r="HC114" s="846"/>
      <c r="HD114" s="847"/>
      <c r="HE114" s="848"/>
      <c r="HF114" s="849"/>
      <c r="HG114" s="850"/>
      <c r="HH114" s="851"/>
      <c r="HI114" s="844"/>
      <c r="HJ114" s="845"/>
      <c r="HK114" s="846"/>
      <c r="HL114" s="847"/>
      <c r="HM114" s="848"/>
      <c r="HN114" s="849"/>
      <c r="HO114" s="850"/>
      <c r="HP114" s="851"/>
      <c r="HQ114" s="844"/>
      <c r="HR114" s="845"/>
      <c r="HS114" s="846"/>
      <c r="HT114" s="847"/>
      <c r="HU114" s="848"/>
      <c r="HV114" s="849"/>
      <c r="HW114" s="850"/>
      <c r="HX114" s="851"/>
      <c r="HY114" s="844"/>
      <c r="HZ114" s="845"/>
      <c r="IA114" s="846"/>
      <c r="IB114" s="847"/>
      <c r="IC114" s="848"/>
      <c r="ID114" s="849"/>
      <c r="IE114" s="850"/>
      <c r="IF114" s="851"/>
      <c r="IG114" s="844"/>
      <c r="IH114" s="845"/>
      <c r="II114" s="846"/>
      <c r="IJ114" s="847"/>
      <c r="IK114" s="848"/>
      <c r="IL114" s="849"/>
      <c r="IM114" s="850"/>
      <c r="IN114" s="851"/>
      <c r="IO114" s="844"/>
      <c r="IP114" s="845"/>
      <c r="IQ114" s="846"/>
      <c r="IR114" s="847"/>
      <c r="IS114" s="848"/>
      <c r="IT114" s="849"/>
      <c r="IU114" s="850"/>
      <c r="IV114" s="851"/>
    </row>
    <row r="115" spans="1:256" s="469" customFormat="1" ht="23.25" customHeight="1">
      <c r="A115" s="844"/>
      <c r="B115" s="845"/>
      <c r="C115" s="846"/>
      <c r="D115" s="847"/>
      <c r="E115" s="848"/>
      <c r="F115" s="849"/>
      <c r="G115" s="850"/>
      <c r="H115" s="851"/>
      <c r="I115" s="844"/>
      <c r="J115" s="845"/>
      <c r="K115" s="846"/>
      <c r="L115" s="847"/>
      <c r="M115" s="848"/>
      <c r="N115" s="849"/>
      <c r="O115" s="850"/>
      <c r="P115" s="851"/>
      <c r="Q115" s="844"/>
      <c r="R115" s="845"/>
      <c r="S115" s="846"/>
      <c r="T115" s="847"/>
      <c r="U115" s="848"/>
      <c r="V115" s="849"/>
      <c r="W115" s="850"/>
      <c r="X115" s="851"/>
      <c r="Y115" s="844"/>
      <c r="Z115" s="845"/>
      <c r="AA115" s="846"/>
      <c r="AB115" s="847"/>
      <c r="AC115" s="848"/>
      <c r="AD115" s="849"/>
      <c r="AE115" s="850"/>
      <c r="AF115" s="851"/>
      <c r="AG115" s="844"/>
      <c r="AH115" s="845"/>
      <c r="AI115" s="846"/>
      <c r="AJ115" s="847"/>
      <c r="AK115" s="848"/>
      <c r="AL115" s="849"/>
      <c r="AM115" s="850"/>
      <c r="AN115" s="851"/>
      <c r="AO115" s="844"/>
      <c r="AP115" s="845"/>
      <c r="AQ115" s="846"/>
      <c r="AR115" s="847"/>
      <c r="AS115" s="848"/>
      <c r="AT115" s="849"/>
      <c r="AU115" s="850"/>
      <c r="AV115" s="851"/>
      <c r="AW115" s="844"/>
      <c r="AX115" s="845"/>
      <c r="AY115" s="846"/>
      <c r="AZ115" s="847"/>
      <c r="BA115" s="848"/>
      <c r="BB115" s="849"/>
      <c r="BC115" s="850"/>
      <c r="BD115" s="851"/>
      <c r="BE115" s="844"/>
      <c r="BF115" s="845"/>
      <c r="BG115" s="846"/>
      <c r="BH115" s="847"/>
      <c r="BI115" s="848"/>
      <c r="BJ115" s="849"/>
      <c r="BK115" s="850"/>
      <c r="BL115" s="851"/>
      <c r="BM115" s="844"/>
      <c r="BN115" s="845"/>
      <c r="BO115" s="846"/>
      <c r="BP115" s="847"/>
      <c r="BQ115" s="848"/>
      <c r="BR115" s="849"/>
      <c r="BS115" s="850"/>
      <c r="BT115" s="851"/>
      <c r="BU115" s="844"/>
      <c r="BV115" s="845"/>
      <c r="BW115" s="846"/>
      <c r="BX115" s="847"/>
      <c r="BY115" s="848"/>
      <c r="BZ115" s="849"/>
      <c r="CA115" s="850"/>
      <c r="CB115" s="851"/>
      <c r="CC115" s="844"/>
      <c r="CD115" s="845"/>
      <c r="CE115" s="846"/>
      <c r="CF115" s="847"/>
      <c r="CG115" s="848"/>
      <c r="CH115" s="849"/>
      <c r="CI115" s="850"/>
      <c r="CJ115" s="851"/>
      <c r="CK115" s="844"/>
      <c r="CL115" s="845"/>
      <c r="CM115" s="846"/>
      <c r="CN115" s="847"/>
      <c r="CO115" s="848"/>
      <c r="CP115" s="849"/>
      <c r="CQ115" s="850"/>
      <c r="CR115" s="851"/>
      <c r="CS115" s="844"/>
      <c r="CT115" s="845"/>
      <c r="CU115" s="846"/>
      <c r="CV115" s="847"/>
      <c r="CW115" s="848"/>
      <c r="CX115" s="849"/>
      <c r="CY115" s="850"/>
      <c r="CZ115" s="851"/>
      <c r="DA115" s="844"/>
      <c r="DB115" s="845"/>
      <c r="DC115" s="846"/>
      <c r="DD115" s="847"/>
      <c r="DE115" s="848"/>
      <c r="DF115" s="849"/>
      <c r="DG115" s="850"/>
      <c r="DH115" s="851"/>
      <c r="DI115" s="844"/>
      <c r="DJ115" s="845"/>
      <c r="DK115" s="846"/>
      <c r="DL115" s="847"/>
      <c r="DM115" s="848"/>
      <c r="DN115" s="849"/>
      <c r="DO115" s="850"/>
      <c r="DP115" s="851"/>
      <c r="DQ115" s="844"/>
      <c r="DR115" s="845"/>
      <c r="DS115" s="846"/>
      <c r="DT115" s="847"/>
      <c r="DU115" s="848"/>
      <c r="DV115" s="849"/>
      <c r="DW115" s="850"/>
      <c r="DX115" s="851"/>
      <c r="DY115" s="844"/>
      <c r="DZ115" s="845"/>
      <c r="EA115" s="846"/>
      <c r="EB115" s="847"/>
      <c r="EC115" s="848"/>
      <c r="ED115" s="849"/>
      <c r="EE115" s="850"/>
      <c r="EF115" s="851"/>
      <c r="EG115" s="844"/>
      <c r="EH115" s="845"/>
      <c r="EI115" s="846"/>
      <c r="EJ115" s="847"/>
      <c r="EK115" s="848"/>
      <c r="EL115" s="849"/>
      <c r="EM115" s="850"/>
      <c r="EN115" s="851"/>
      <c r="EO115" s="844"/>
      <c r="EP115" s="845"/>
      <c r="EQ115" s="846"/>
      <c r="ER115" s="847"/>
      <c r="ES115" s="848"/>
      <c r="ET115" s="849"/>
      <c r="EU115" s="850"/>
      <c r="EV115" s="851"/>
      <c r="EW115" s="844"/>
      <c r="EX115" s="845"/>
      <c r="EY115" s="846"/>
      <c r="EZ115" s="847"/>
      <c r="FA115" s="848"/>
      <c r="FB115" s="849"/>
      <c r="FC115" s="850"/>
      <c r="FD115" s="851"/>
      <c r="FE115" s="844"/>
      <c r="FF115" s="845"/>
      <c r="FG115" s="846"/>
      <c r="FH115" s="847"/>
      <c r="FI115" s="848"/>
      <c r="FJ115" s="849"/>
      <c r="FK115" s="850"/>
      <c r="FL115" s="851"/>
      <c r="FM115" s="844"/>
      <c r="FN115" s="845"/>
      <c r="FO115" s="846"/>
      <c r="FP115" s="847"/>
      <c r="FQ115" s="848"/>
      <c r="FR115" s="849"/>
      <c r="FS115" s="850"/>
      <c r="FT115" s="851"/>
      <c r="FU115" s="844"/>
      <c r="FV115" s="845"/>
      <c r="FW115" s="846"/>
      <c r="FX115" s="847"/>
      <c r="FY115" s="848"/>
      <c r="FZ115" s="849"/>
      <c r="GA115" s="850"/>
      <c r="GB115" s="851"/>
      <c r="GC115" s="844"/>
      <c r="GD115" s="845"/>
      <c r="GE115" s="846"/>
      <c r="GF115" s="847"/>
      <c r="GG115" s="848"/>
      <c r="GH115" s="849"/>
      <c r="GI115" s="850"/>
      <c r="GJ115" s="851"/>
      <c r="GK115" s="844"/>
      <c r="GL115" s="845"/>
      <c r="GM115" s="846"/>
      <c r="GN115" s="847"/>
      <c r="GO115" s="848"/>
      <c r="GP115" s="849"/>
      <c r="GQ115" s="850"/>
      <c r="GR115" s="851"/>
      <c r="GS115" s="844"/>
      <c r="GT115" s="845"/>
      <c r="GU115" s="846"/>
      <c r="GV115" s="847"/>
      <c r="GW115" s="848"/>
      <c r="GX115" s="849"/>
      <c r="GY115" s="850"/>
      <c r="GZ115" s="851"/>
      <c r="HA115" s="844"/>
      <c r="HB115" s="845"/>
      <c r="HC115" s="846"/>
      <c r="HD115" s="847"/>
      <c r="HE115" s="848"/>
      <c r="HF115" s="849"/>
      <c r="HG115" s="850"/>
      <c r="HH115" s="851"/>
      <c r="HI115" s="844"/>
      <c r="HJ115" s="845"/>
      <c r="HK115" s="846"/>
      <c r="HL115" s="847"/>
      <c r="HM115" s="848"/>
      <c r="HN115" s="849"/>
      <c r="HO115" s="850"/>
      <c r="HP115" s="851"/>
      <c r="HQ115" s="844"/>
      <c r="HR115" s="845"/>
      <c r="HS115" s="846"/>
      <c r="HT115" s="847"/>
      <c r="HU115" s="848"/>
      <c r="HV115" s="849"/>
      <c r="HW115" s="850"/>
      <c r="HX115" s="851"/>
      <c r="HY115" s="844"/>
      <c r="HZ115" s="845"/>
      <c r="IA115" s="846"/>
      <c r="IB115" s="847"/>
      <c r="IC115" s="848"/>
      <c r="ID115" s="849"/>
      <c r="IE115" s="850"/>
      <c r="IF115" s="851"/>
      <c r="IG115" s="844"/>
      <c r="IH115" s="845"/>
      <c r="II115" s="846"/>
      <c r="IJ115" s="847"/>
      <c r="IK115" s="848"/>
      <c r="IL115" s="849"/>
      <c r="IM115" s="850"/>
      <c r="IN115" s="851"/>
      <c r="IO115" s="844"/>
      <c r="IP115" s="845"/>
      <c r="IQ115" s="846"/>
      <c r="IR115" s="847"/>
      <c r="IS115" s="848"/>
      <c r="IT115" s="849"/>
      <c r="IU115" s="850"/>
      <c r="IV115" s="851"/>
    </row>
    <row r="116" spans="1:256" s="469" customFormat="1" ht="23.25" customHeight="1">
      <c r="A116" s="29" t="s">
        <v>457</v>
      </c>
      <c r="B116" s="29"/>
      <c r="C116" s="29"/>
      <c r="D116" s="29"/>
      <c r="E116" s="29" t="s">
        <v>458</v>
      </c>
      <c r="F116" s="29"/>
      <c r="G116" s="29"/>
      <c r="H116" s="29"/>
      <c r="I116" s="29" t="s">
        <v>457</v>
      </c>
      <c r="J116" s="29"/>
      <c r="K116" s="29"/>
      <c r="L116" s="29"/>
      <c r="M116" s="29" t="s">
        <v>458</v>
      </c>
      <c r="N116" s="29"/>
      <c r="O116" s="29"/>
      <c r="P116" s="29"/>
      <c r="Q116" s="29" t="s">
        <v>457</v>
      </c>
      <c r="R116" s="29"/>
      <c r="S116" s="29"/>
      <c r="T116" s="29"/>
      <c r="U116" s="29" t="s">
        <v>458</v>
      </c>
      <c r="V116" s="29"/>
      <c r="W116" s="29"/>
      <c r="X116" s="29"/>
      <c r="Y116" s="29" t="s">
        <v>457</v>
      </c>
      <c r="Z116" s="29"/>
      <c r="AA116" s="29"/>
      <c r="AB116" s="29"/>
      <c r="AC116" s="29" t="s">
        <v>458</v>
      </c>
      <c r="AD116" s="29"/>
      <c r="AE116" s="29"/>
      <c r="AF116" s="29"/>
      <c r="AG116" s="29" t="s">
        <v>457</v>
      </c>
      <c r="AH116" s="29"/>
      <c r="AI116" s="29"/>
      <c r="AJ116" s="29"/>
      <c r="AK116" s="29" t="s">
        <v>458</v>
      </c>
      <c r="AL116" s="29"/>
      <c r="AM116" s="29"/>
      <c r="AN116" s="29"/>
      <c r="AO116" s="29" t="s">
        <v>457</v>
      </c>
      <c r="AP116" s="29"/>
      <c r="AQ116" s="29"/>
      <c r="AR116" s="29"/>
      <c r="AS116" s="29" t="s">
        <v>458</v>
      </c>
      <c r="AT116" s="29"/>
      <c r="AU116" s="29"/>
      <c r="AV116" s="29"/>
      <c r="AW116" s="29" t="s">
        <v>457</v>
      </c>
      <c r="AX116" s="29"/>
      <c r="AY116" s="29"/>
      <c r="AZ116" s="29"/>
      <c r="BA116" s="29" t="s">
        <v>458</v>
      </c>
      <c r="BB116" s="29"/>
      <c r="BC116" s="29"/>
      <c r="BD116" s="29"/>
      <c r="BE116" s="29" t="s">
        <v>457</v>
      </c>
      <c r="BF116" s="29"/>
      <c r="BG116" s="29"/>
      <c r="BH116" s="29"/>
      <c r="BI116" s="29" t="s">
        <v>458</v>
      </c>
      <c r="BJ116" s="29"/>
      <c r="BK116" s="29"/>
      <c r="BL116" s="29"/>
      <c r="BM116" s="29" t="s">
        <v>457</v>
      </c>
      <c r="BN116" s="29"/>
      <c r="BO116" s="29"/>
      <c r="BP116" s="29"/>
      <c r="BQ116" s="29" t="s">
        <v>458</v>
      </c>
      <c r="BR116" s="29"/>
      <c r="BS116" s="29"/>
      <c r="BT116" s="29"/>
      <c r="BU116" s="29" t="s">
        <v>457</v>
      </c>
      <c r="BV116" s="29"/>
      <c r="BW116" s="29"/>
      <c r="BX116" s="29"/>
      <c r="BY116" s="29" t="s">
        <v>458</v>
      </c>
      <c r="BZ116" s="29"/>
      <c r="CA116" s="29"/>
      <c r="CB116" s="29"/>
      <c r="CC116" s="29" t="s">
        <v>457</v>
      </c>
      <c r="CD116" s="29"/>
      <c r="CE116" s="29"/>
      <c r="CF116" s="29"/>
      <c r="CG116" s="29" t="s">
        <v>458</v>
      </c>
      <c r="CH116" s="29"/>
      <c r="CI116" s="29"/>
      <c r="CJ116" s="29"/>
      <c r="CK116" s="29" t="s">
        <v>457</v>
      </c>
      <c r="CL116" s="29"/>
      <c r="CM116" s="29"/>
      <c r="CN116" s="29"/>
      <c r="CO116" s="29" t="s">
        <v>458</v>
      </c>
      <c r="CP116" s="29"/>
      <c r="CQ116" s="29"/>
      <c r="CR116" s="29"/>
      <c r="CS116" s="29" t="s">
        <v>457</v>
      </c>
      <c r="CT116" s="29"/>
      <c r="CU116" s="29"/>
      <c r="CV116" s="29"/>
      <c r="CW116" s="29" t="s">
        <v>458</v>
      </c>
      <c r="CX116" s="29"/>
      <c r="CY116" s="29"/>
      <c r="CZ116" s="29"/>
      <c r="DA116" s="29" t="s">
        <v>457</v>
      </c>
      <c r="DB116" s="29"/>
      <c r="DC116" s="29"/>
      <c r="DD116" s="29"/>
      <c r="DE116" s="29" t="s">
        <v>458</v>
      </c>
      <c r="DF116" s="29"/>
      <c r="DG116" s="29"/>
      <c r="DH116" s="29"/>
      <c r="DI116" s="29" t="s">
        <v>457</v>
      </c>
      <c r="DJ116" s="29"/>
      <c r="DK116" s="29"/>
      <c r="DL116" s="29"/>
      <c r="DM116" s="29" t="s">
        <v>458</v>
      </c>
      <c r="DN116" s="29"/>
      <c r="DO116" s="29"/>
      <c r="DP116" s="29"/>
      <c r="DQ116" s="29" t="s">
        <v>457</v>
      </c>
      <c r="DR116" s="29"/>
      <c r="DS116" s="29"/>
      <c r="DT116" s="29"/>
      <c r="DU116" s="29" t="s">
        <v>458</v>
      </c>
      <c r="DV116" s="29"/>
      <c r="DW116" s="29"/>
      <c r="DX116" s="29"/>
      <c r="DY116" s="29" t="s">
        <v>457</v>
      </c>
      <c r="DZ116" s="29"/>
      <c r="EA116" s="29"/>
      <c r="EB116" s="29"/>
      <c r="EC116" s="29" t="s">
        <v>458</v>
      </c>
      <c r="ED116" s="29"/>
      <c r="EE116" s="29"/>
      <c r="EF116" s="29"/>
      <c r="EG116" s="29" t="s">
        <v>457</v>
      </c>
      <c r="EH116" s="29"/>
      <c r="EI116" s="29"/>
      <c r="EJ116" s="29"/>
      <c r="EK116" s="29" t="s">
        <v>458</v>
      </c>
      <c r="EL116" s="29"/>
      <c r="EM116" s="29"/>
      <c r="EN116" s="29"/>
      <c r="EO116" s="29" t="s">
        <v>457</v>
      </c>
      <c r="EP116" s="29"/>
      <c r="EQ116" s="29"/>
      <c r="ER116" s="29"/>
      <c r="ES116" s="29" t="s">
        <v>458</v>
      </c>
      <c r="ET116" s="29"/>
      <c r="EU116" s="29"/>
      <c r="EV116" s="29"/>
      <c r="EW116" s="29" t="s">
        <v>457</v>
      </c>
      <c r="EX116" s="29"/>
      <c r="EY116" s="29"/>
      <c r="EZ116" s="29"/>
      <c r="FA116" s="29" t="s">
        <v>458</v>
      </c>
      <c r="FB116" s="29"/>
      <c r="FC116" s="29"/>
      <c r="FD116" s="29"/>
      <c r="FE116" s="29" t="s">
        <v>457</v>
      </c>
      <c r="FF116" s="29"/>
      <c r="FG116" s="29"/>
      <c r="FH116" s="29"/>
      <c r="FI116" s="29" t="s">
        <v>458</v>
      </c>
      <c r="FJ116" s="29"/>
      <c r="FK116" s="29"/>
      <c r="FL116" s="29"/>
      <c r="FM116" s="29" t="s">
        <v>457</v>
      </c>
      <c r="FN116" s="29"/>
      <c r="FO116" s="29"/>
      <c r="FP116" s="29"/>
      <c r="FQ116" s="29" t="s">
        <v>458</v>
      </c>
      <c r="FR116" s="29"/>
      <c r="FS116" s="29"/>
      <c r="FT116" s="29"/>
      <c r="FU116" s="29" t="s">
        <v>457</v>
      </c>
      <c r="FV116" s="29"/>
      <c r="FW116" s="29"/>
      <c r="FX116" s="29"/>
      <c r="FY116" s="29" t="s">
        <v>458</v>
      </c>
      <c r="FZ116" s="29"/>
      <c r="GA116" s="29"/>
      <c r="GB116" s="29"/>
      <c r="GC116" s="29" t="s">
        <v>457</v>
      </c>
      <c r="GD116" s="29"/>
      <c r="GE116" s="29"/>
      <c r="GF116" s="29"/>
      <c r="GG116" s="29" t="s">
        <v>458</v>
      </c>
      <c r="GH116" s="29"/>
      <c r="GI116" s="29"/>
      <c r="GJ116" s="29"/>
      <c r="GK116" s="29" t="s">
        <v>457</v>
      </c>
      <c r="GL116" s="29"/>
      <c r="GM116" s="29"/>
      <c r="GN116" s="29"/>
      <c r="GO116" s="29" t="s">
        <v>458</v>
      </c>
      <c r="GP116" s="29"/>
      <c r="GQ116" s="29"/>
      <c r="GR116" s="29"/>
      <c r="GS116" s="29" t="s">
        <v>457</v>
      </c>
      <c r="GT116" s="29"/>
      <c r="GU116" s="29"/>
      <c r="GV116" s="29"/>
      <c r="GW116" s="29" t="s">
        <v>458</v>
      </c>
      <c r="GX116" s="29"/>
      <c r="GY116" s="29"/>
      <c r="GZ116" s="29"/>
      <c r="HA116" s="29" t="s">
        <v>457</v>
      </c>
      <c r="HB116" s="29"/>
      <c r="HC116" s="29"/>
      <c r="HD116" s="29"/>
      <c r="HE116" s="29" t="s">
        <v>458</v>
      </c>
      <c r="HF116" s="29"/>
      <c r="HG116" s="29"/>
      <c r="HH116" s="29"/>
      <c r="HI116" s="29" t="s">
        <v>457</v>
      </c>
      <c r="HJ116" s="29"/>
      <c r="HK116" s="29"/>
      <c r="HL116" s="29"/>
      <c r="HM116" s="29" t="s">
        <v>458</v>
      </c>
      <c r="HN116" s="29"/>
      <c r="HO116" s="29"/>
      <c r="HP116" s="29"/>
      <c r="HQ116" s="29" t="s">
        <v>457</v>
      </c>
      <c r="HR116" s="29"/>
      <c r="HS116" s="29"/>
      <c r="HT116" s="29"/>
      <c r="HU116" s="29" t="s">
        <v>458</v>
      </c>
      <c r="HV116" s="29"/>
      <c r="HW116" s="29"/>
      <c r="HX116" s="29"/>
      <c r="HY116" s="29" t="s">
        <v>457</v>
      </c>
      <c r="HZ116" s="29"/>
      <c r="IA116" s="29"/>
      <c r="IB116" s="29"/>
      <c r="IC116" s="29" t="s">
        <v>458</v>
      </c>
      <c r="ID116" s="29"/>
      <c r="IE116" s="29"/>
      <c r="IF116" s="29"/>
      <c r="IG116" s="29" t="s">
        <v>457</v>
      </c>
      <c r="IH116" s="29"/>
      <c r="II116" s="29"/>
      <c r="IJ116" s="29"/>
      <c r="IK116" s="29" t="s">
        <v>458</v>
      </c>
      <c r="IL116" s="29"/>
      <c r="IM116" s="29"/>
      <c r="IN116" s="29"/>
      <c r="IO116" s="29" t="s">
        <v>457</v>
      </c>
      <c r="IP116" s="29"/>
      <c r="IQ116" s="29"/>
      <c r="IR116" s="29"/>
      <c r="IS116" s="29" t="s">
        <v>458</v>
      </c>
      <c r="IT116" s="29"/>
      <c r="IU116" s="29"/>
      <c r="IV116" s="29"/>
    </row>
    <row r="117" spans="1:6" s="469" customFormat="1" ht="24" customHeight="1">
      <c r="A117" s="1659" t="str">
        <f>A90</f>
        <v>經濟部水利署第十河川局</v>
      </c>
      <c r="B117" s="1659"/>
      <c r="C117" s="1659"/>
      <c r="D117" s="1659"/>
      <c r="E117" s="1659"/>
      <c r="F117" s="1659"/>
    </row>
    <row r="118" spans="1:6" s="469" customFormat="1" ht="24" customHeight="1">
      <c r="A118" s="1659" t="s">
        <v>307</v>
      </c>
      <c r="B118" s="1659"/>
      <c r="C118" s="1659"/>
      <c r="D118" s="1659"/>
      <c r="E118" s="1659"/>
      <c r="F118" s="1659"/>
    </row>
    <row r="119" spans="1:6" s="469" customFormat="1" ht="24" customHeight="1">
      <c r="A119" s="1658" t="str">
        <f>A92</f>
        <v>工程名稱:基隆河整體治理計劃（前期計劃）瑞芳區塊介壽橋下游左右岸護岸工程</v>
      </c>
      <c r="B119" s="1658"/>
      <c r="C119" s="1658"/>
      <c r="D119" s="1658"/>
      <c r="E119" s="1658"/>
      <c r="F119" s="1658"/>
    </row>
    <row r="120" spans="1:6" s="469" customFormat="1" ht="24" customHeight="1" thickBot="1">
      <c r="A120" s="1660" t="str">
        <f>A93</f>
        <v>施工地點：台北縣瑞芳鎮</v>
      </c>
      <c r="B120" s="1660"/>
      <c r="C120" s="1660"/>
      <c r="D120" s="501"/>
      <c r="E120" s="1661" t="s">
        <v>1405</v>
      </c>
      <c r="F120" s="1661"/>
    </row>
    <row r="121" spans="1:6" s="469" customFormat="1" ht="24" customHeight="1">
      <c r="A121" s="497" t="s">
        <v>478</v>
      </c>
      <c r="B121" s="498" t="s">
        <v>442</v>
      </c>
      <c r="C121" s="498" t="s">
        <v>439</v>
      </c>
      <c r="D121" s="498" t="s">
        <v>479</v>
      </c>
      <c r="E121" s="499" t="s">
        <v>440</v>
      </c>
      <c r="F121" s="500" t="s">
        <v>423</v>
      </c>
    </row>
    <row r="122" spans="1:6" s="469" customFormat="1" ht="24" customHeight="1">
      <c r="A122" s="502">
        <v>13</v>
      </c>
      <c r="B122" s="402" t="str">
        <f>'第一號明細表'!A19</f>
        <v>50kg級鋼軌樁</v>
      </c>
      <c r="C122" s="279" t="str">
        <f>'第一號明細表'!C19</f>
        <v>支</v>
      </c>
      <c r="D122" s="1355" t="s">
        <v>1209</v>
      </c>
      <c r="E122" s="242">
        <v>825</v>
      </c>
      <c r="F122" s="1226" t="s">
        <v>1312</v>
      </c>
    </row>
    <row r="123" spans="1:6" s="469" customFormat="1" ht="24" customHeight="1">
      <c r="A123" s="502"/>
      <c r="B123" s="402"/>
      <c r="C123" s="279"/>
      <c r="D123" s="1355"/>
      <c r="E123" s="242"/>
      <c r="F123" s="1226"/>
    </row>
    <row r="124" spans="1:6" s="469" customFormat="1" ht="24" customHeight="1">
      <c r="A124" s="502">
        <v>14</v>
      </c>
      <c r="B124" s="1336" t="str">
        <f>'第一號明細表'!A20</f>
        <v>直徑3"洩水管</v>
      </c>
      <c r="C124" s="279" t="str">
        <f>'第一號明細表'!C20</f>
        <v>支</v>
      </c>
      <c r="D124" s="1356" t="s">
        <v>220</v>
      </c>
      <c r="E124" s="242">
        <f>1083+624</f>
        <v>1707</v>
      </c>
      <c r="F124" s="1226" t="s">
        <v>1313</v>
      </c>
    </row>
    <row r="125" spans="1:6" s="469" customFormat="1" ht="24" customHeight="1">
      <c r="A125" s="502"/>
      <c r="B125" s="402"/>
      <c r="C125" s="279"/>
      <c r="D125" s="1356" t="s">
        <v>1207</v>
      </c>
      <c r="E125" s="242"/>
      <c r="F125" s="1226" t="s">
        <v>1188</v>
      </c>
    </row>
    <row r="126" spans="1:6" s="469" customFormat="1" ht="24" customHeight="1">
      <c r="A126" s="502"/>
      <c r="B126" s="402"/>
      <c r="C126" s="279"/>
      <c r="D126" s="1356"/>
      <c r="E126" s="242"/>
      <c r="F126" s="1226"/>
    </row>
    <row r="127" spans="1:6" s="469" customFormat="1" ht="24" customHeight="1">
      <c r="A127" s="502">
        <v>15</v>
      </c>
      <c r="B127" s="402" t="str">
        <f>'第一號明細表'!A21</f>
        <v>防洪牆伸縮縫</v>
      </c>
      <c r="C127" s="279" t="str">
        <f>'第一號明細表'!C21</f>
        <v>處</v>
      </c>
      <c r="D127" s="1355" t="s">
        <v>1189</v>
      </c>
      <c r="E127" s="242">
        <f>22+35</f>
        <v>57</v>
      </c>
      <c r="F127" s="1226" t="s">
        <v>1313</v>
      </c>
    </row>
    <row r="128" spans="1:6" s="469" customFormat="1" ht="24" customHeight="1">
      <c r="A128" s="502"/>
      <c r="B128" s="402"/>
      <c r="C128" s="279"/>
      <c r="D128" s="1355" t="s">
        <v>1194</v>
      </c>
      <c r="E128" s="242"/>
      <c r="F128" s="1226" t="s">
        <v>1188</v>
      </c>
    </row>
    <row r="129" spans="1:6" s="469" customFormat="1" ht="24" customHeight="1">
      <c r="A129" s="502"/>
      <c r="B129" s="402"/>
      <c r="C129" s="279"/>
      <c r="D129" s="1355"/>
      <c r="E129" s="242"/>
      <c r="F129" s="1226"/>
    </row>
    <row r="130" spans="1:6" s="469" customFormat="1" ht="24" customHeight="1">
      <c r="A130" s="502">
        <v>16</v>
      </c>
      <c r="B130" s="402" t="str">
        <f>'第一號明細表'!A22</f>
        <v>側溝（1M*1M）</v>
      </c>
      <c r="C130" s="279" t="str">
        <f>'第一號明細表'!C22</f>
        <v>m</v>
      </c>
      <c r="D130" s="1355" t="s">
        <v>60</v>
      </c>
      <c r="E130" s="242">
        <v>408</v>
      </c>
      <c r="F130" s="1226" t="s">
        <v>1313</v>
      </c>
    </row>
    <row r="131" spans="1:6" s="469" customFormat="1" ht="24" customHeight="1">
      <c r="A131" s="502"/>
      <c r="B131" s="402"/>
      <c r="C131" s="279"/>
      <c r="D131" s="1355"/>
      <c r="E131" s="242"/>
      <c r="F131" s="1226"/>
    </row>
    <row r="132" spans="1:6" s="469" customFormat="1" ht="24" customHeight="1">
      <c r="A132" s="502">
        <v>17</v>
      </c>
      <c r="B132" s="402" t="str">
        <f>'第一號明細表'!A23</f>
        <v>側溝格柵版（1M*1M）</v>
      </c>
      <c r="C132" s="279" t="str">
        <f>'第一號明細表'!C23</f>
        <v>塊</v>
      </c>
      <c r="D132" s="1355" t="s">
        <v>42</v>
      </c>
      <c r="E132" s="242">
        <v>82</v>
      </c>
      <c r="F132" s="1226" t="s">
        <v>1313</v>
      </c>
    </row>
    <row r="133" spans="1:6" s="469" customFormat="1" ht="24" customHeight="1">
      <c r="A133" s="502"/>
      <c r="B133" s="402"/>
      <c r="C133" s="279"/>
      <c r="D133" s="1355"/>
      <c r="E133" s="242"/>
      <c r="F133" s="1226"/>
    </row>
    <row r="134" spans="1:6" s="469" customFormat="1" ht="24" customHeight="1">
      <c r="A134" s="502">
        <v>18</v>
      </c>
      <c r="B134" s="402" t="str">
        <f>'第一號明細表'!A24</f>
        <v>預鑄涵版（1M*1M）</v>
      </c>
      <c r="C134" s="279" t="str">
        <f>'第一號明細表'!C24</f>
        <v>塊</v>
      </c>
      <c r="D134" s="1355" t="s">
        <v>43</v>
      </c>
      <c r="E134" s="242">
        <v>326</v>
      </c>
      <c r="F134" s="1226" t="s">
        <v>1313</v>
      </c>
    </row>
    <row r="135" spans="1:6" s="469" customFormat="1" ht="24" customHeight="1">
      <c r="A135" s="502"/>
      <c r="B135" s="402"/>
      <c r="C135" s="279"/>
      <c r="D135" s="1355"/>
      <c r="E135" s="242"/>
      <c r="F135" s="1226"/>
    </row>
    <row r="136" spans="1:6" s="469" customFormat="1" ht="24" customHeight="1">
      <c r="A136" s="502">
        <v>19</v>
      </c>
      <c r="B136" s="402" t="str">
        <f>'單價分析表'!D258</f>
        <v>側溝（1M*0.8M）</v>
      </c>
      <c r="C136" s="279" t="str">
        <f>'單價分析表'!H258</f>
        <v>m</v>
      </c>
      <c r="D136" s="1355">
        <v>247</v>
      </c>
      <c r="E136" s="242">
        <v>247</v>
      </c>
      <c r="F136" s="1226" t="s">
        <v>1188</v>
      </c>
    </row>
    <row r="137" spans="1:6" s="469" customFormat="1" ht="24" customHeight="1">
      <c r="A137" s="502"/>
      <c r="B137" s="402"/>
      <c r="C137" s="279"/>
      <c r="D137" s="1355"/>
      <c r="E137" s="242"/>
      <c r="F137" s="1226"/>
    </row>
    <row r="138" spans="1:6" s="469" customFormat="1" ht="24" customHeight="1">
      <c r="A138" s="502">
        <v>20</v>
      </c>
      <c r="B138" s="402" t="str">
        <f>'單價分析表'!D270</f>
        <v>側溝格柵版（1M*0.8M）</v>
      </c>
      <c r="C138" s="279" t="str">
        <f>'單價分析表'!H270</f>
        <v>塊</v>
      </c>
      <c r="D138" s="1355" t="s">
        <v>1193</v>
      </c>
      <c r="E138" s="242">
        <v>50</v>
      </c>
      <c r="F138" s="1226" t="s">
        <v>1188</v>
      </c>
    </row>
    <row r="139" spans="1:6" s="469" customFormat="1" ht="24" customHeight="1">
      <c r="A139" s="502"/>
      <c r="B139" s="402"/>
      <c r="C139" s="279"/>
      <c r="D139" s="1355"/>
      <c r="E139" s="242"/>
      <c r="F139" s="1226"/>
    </row>
    <row r="140" spans="1:6" s="469" customFormat="1" ht="24" customHeight="1">
      <c r="A140" s="502">
        <v>21</v>
      </c>
      <c r="B140" s="402" t="str">
        <f>'單價分析表'!D290</f>
        <v>預鑄涵版（0.5M*0.8M）</v>
      </c>
      <c r="C140" s="279" t="str">
        <f>'單價分析表'!H290</f>
        <v>塊</v>
      </c>
      <c r="D140" s="1355" t="s">
        <v>1211</v>
      </c>
      <c r="E140" s="242">
        <v>394</v>
      </c>
      <c r="F140" s="1226" t="s">
        <v>1188</v>
      </c>
    </row>
    <row r="141" spans="1:6" s="469" customFormat="1" ht="24" customHeight="1">
      <c r="A141" s="502"/>
      <c r="B141" s="402"/>
      <c r="C141" s="279"/>
      <c r="D141" s="1355"/>
      <c r="E141" s="242"/>
      <c r="F141" s="1226"/>
    </row>
    <row r="142" spans="1:6" s="469" customFormat="1" ht="24" customHeight="1">
      <c r="A142" s="502">
        <v>22</v>
      </c>
      <c r="B142" s="402" t="str">
        <f>'單價分析表'!D301</f>
        <v>加勁值生檔土牆</v>
      </c>
      <c r="C142" s="279" t="str">
        <f>'單價分析表'!H301</f>
        <v>M2</v>
      </c>
      <c r="D142" s="1355" t="s">
        <v>1232</v>
      </c>
      <c r="E142" s="242">
        <v>2964</v>
      </c>
      <c r="F142" s="1226" t="s">
        <v>1188</v>
      </c>
    </row>
    <row r="143" spans="1:6" s="469" customFormat="1" ht="24" customHeight="1">
      <c r="A143" s="502"/>
      <c r="B143" s="402"/>
      <c r="C143" s="279"/>
      <c r="D143" s="1355"/>
      <c r="E143" s="242"/>
      <c r="F143" s="1226"/>
    </row>
    <row r="144" spans="1:6" s="469" customFormat="1" ht="24" customHeight="1" thickBot="1">
      <c r="A144" s="863">
        <v>23</v>
      </c>
      <c r="B144" s="1216" t="str">
        <f>'第一號明細表'!A37</f>
        <v>非黏性土壤夯實費</v>
      </c>
      <c r="C144" s="734" t="str">
        <f>'第一號明細表'!C37</f>
        <v>m3</v>
      </c>
      <c r="D144" s="513">
        <v>58862</v>
      </c>
      <c r="E144" s="735">
        <f>E6</f>
        <v>43452</v>
      </c>
      <c r="F144" s="1302"/>
    </row>
    <row r="145" spans="1:256" s="469" customFormat="1" ht="24" customHeight="1">
      <c r="A145" s="844"/>
      <c r="B145" s="845"/>
      <c r="C145" s="846"/>
      <c r="D145" s="847"/>
      <c r="E145" s="848"/>
      <c r="F145" s="849"/>
      <c r="G145" s="850"/>
      <c r="H145" s="851"/>
      <c r="I145" s="844"/>
      <c r="J145" s="845"/>
      <c r="K145" s="846"/>
      <c r="L145" s="847"/>
      <c r="M145" s="848"/>
      <c r="N145" s="849"/>
      <c r="O145" s="850"/>
      <c r="P145" s="851"/>
      <c r="Q145" s="844"/>
      <c r="R145" s="845"/>
      <c r="S145" s="846"/>
      <c r="T145" s="847"/>
      <c r="U145" s="848"/>
      <c r="V145" s="849"/>
      <c r="W145" s="850"/>
      <c r="X145" s="851"/>
      <c r="Y145" s="844"/>
      <c r="Z145" s="845"/>
      <c r="AA145" s="846"/>
      <c r="AB145" s="847"/>
      <c r="AC145" s="848"/>
      <c r="AD145" s="849"/>
      <c r="AE145" s="850"/>
      <c r="AF145" s="851"/>
      <c r="AG145" s="844"/>
      <c r="AH145" s="845"/>
      <c r="AI145" s="846"/>
      <c r="AJ145" s="847"/>
      <c r="AK145" s="848"/>
      <c r="AL145" s="849"/>
      <c r="AM145" s="850"/>
      <c r="AN145" s="851"/>
      <c r="AO145" s="844"/>
      <c r="AP145" s="845"/>
      <c r="AQ145" s="846"/>
      <c r="AR145" s="847"/>
      <c r="AS145" s="848"/>
      <c r="AT145" s="849"/>
      <c r="AU145" s="850"/>
      <c r="AV145" s="851"/>
      <c r="AW145" s="844"/>
      <c r="AX145" s="845"/>
      <c r="AY145" s="846"/>
      <c r="AZ145" s="847"/>
      <c r="BA145" s="848"/>
      <c r="BB145" s="849"/>
      <c r="BC145" s="850"/>
      <c r="BD145" s="851"/>
      <c r="BE145" s="844"/>
      <c r="BF145" s="845"/>
      <c r="BG145" s="846"/>
      <c r="BH145" s="847"/>
      <c r="BI145" s="848"/>
      <c r="BJ145" s="849"/>
      <c r="BK145" s="850"/>
      <c r="BL145" s="851"/>
      <c r="BM145" s="844"/>
      <c r="BN145" s="845"/>
      <c r="BO145" s="846"/>
      <c r="BP145" s="847"/>
      <c r="BQ145" s="848"/>
      <c r="BR145" s="849"/>
      <c r="BS145" s="850"/>
      <c r="BT145" s="851"/>
      <c r="BU145" s="844"/>
      <c r="BV145" s="845"/>
      <c r="BW145" s="846"/>
      <c r="BX145" s="847"/>
      <c r="BY145" s="848"/>
      <c r="BZ145" s="849"/>
      <c r="CA145" s="850"/>
      <c r="CB145" s="851"/>
      <c r="CC145" s="844"/>
      <c r="CD145" s="845"/>
      <c r="CE145" s="846"/>
      <c r="CF145" s="847"/>
      <c r="CG145" s="848"/>
      <c r="CH145" s="849"/>
      <c r="CI145" s="850"/>
      <c r="CJ145" s="851"/>
      <c r="CK145" s="844"/>
      <c r="CL145" s="845"/>
      <c r="CM145" s="846"/>
      <c r="CN145" s="847"/>
      <c r="CO145" s="848"/>
      <c r="CP145" s="849"/>
      <c r="CQ145" s="850"/>
      <c r="CR145" s="851"/>
      <c r="CS145" s="844"/>
      <c r="CT145" s="845"/>
      <c r="CU145" s="846"/>
      <c r="CV145" s="847"/>
      <c r="CW145" s="848"/>
      <c r="CX145" s="849"/>
      <c r="CY145" s="850"/>
      <c r="CZ145" s="851"/>
      <c r="DA145" s="844"/>
      <c r="DB145" s="845"/>
      <c r="DC145" s="846"/>
      <c r="DD145" s="847"/>
      <c r="DE145" s="848"/>
      <c r="DF145" s="849"/>
      <c r="DG145" s="850"/>
      <c r="DH145" s="851"/>
      <c r="DI145" s="844"/>
      <c r="DJ145" s="845"/>
      <c r="DK145" s="846"/>
      <c r="DL145" s="847"/>
      <c r="DM145" s="848"/>
      <c r="DN145" s="849"/>
      <c r="DO145" s="850"/>
      <c r="DP145" s="851"/>
      <c r="DQ145" s="844"/>
      <c r="DR145" s="845"/>
      <c r="DS145" s="846"/>
      <c r="DT145" s="847"/>
      <c r="DU145" s="848"/>
      <c r="DV145" s="849"/>
      <c r="DW145" s="850"/>
      <c r="DX145" s="851"/>
      <c r="DY145" s="844"/>
      <c r="DZ145" s="845"/>
      <c r="EA145" s="846"/>
      <c r="EB145" s="847"/>
      <c r="EC145" s="848"/>
      <c r="ED145" s="849"/>
      <c r="EE145" s="850"/>
      <c r="EF145" s="851"/>
      <c r="EG145" s="844"/>
      <c r="EH145" s="845"/>
      <c r="EI145" s="846"/>
      <c r="EJ145" s="847"/>
      <c r="EK145" s="848"/>
      <c r="EL145" s="849"/>
      <c r="EM145" s="850"/>
      <c r="EN145" s="851"/>
      <c r="EO145" s="844"/>
      <c r="EP145" s="845"/>
      <c r="EQ145" s="846"/>
      <c r="ER145" s="847"/>
      <c r="ES145" s="848"/>
      <c r="ET145" s="849"/>
      <c r="EU145" s="850"/>
      <c r="EV145" s="851"/>
      <c r="EW145" s="844"/>
      <c r="EX145" s="845"/>
      <c r="EY145" s="846"/>
      <c r="EZ145" s="847"/>
      <c r="FA145" s="848"/>
      <c r="FB145" s="849"/>
      <c r="FC145" s="850"/>
      <c r="FD145" s="851"/>
      <c r="FE145" s="844"/>
      <c r="FF145" s="845"/>
      <c r="FG145" s="846"/>
      <c r="FH145" s="847"/>
      <c r="FI145" s="848"/>
      <c r="FJ145" s="849"/>
      <c r="FK145" s="850"/>
      <c r="FL145" s="851"/>
      <c r="FM145" s="844"/>
      <c r="FN145" s="845"/>
      <c r="FO145" s="846"/>
      <c r="FP145" s="847"/>
      <c r="FQ145" s="848"/>
      <c r="FR145" s="849"/>
      <c r="FS145" s="850"/>
      <c r="FT145" s="851"/>
      <c r="FU145" s="844"/>
      <c r="FV145" s="845"/>
      <c r="FW145" s="846"/>
      <c r="FX145" s="847"/>
      <c r="FY145" s="848"/>
      <c r="FZ145" s="849"/>
      <c r="GA145" s="850"/>
      <c r="GB145" s="851"/>
      <c r="GC145" s="844"/>
      <c r="GD145" s="845"/>
      <c r="GE145" s="846"/>
      <c r="GF145" s="847"/>
      <c r="GG145" s="848"/>
      <c r="GH145" s="849"/>
      <c r="GI145" s="850"/>
      <c r="GJ145" s="851"/>
      <c r="GK145" s="844"/>
      <c r="GL145" s="845"/>
      <c r="GM145" s="846"/>
      <c r="GN145" s="847"/>
      <c r="GO145" s="848"/>
      <c r="GP145" s="849"/>
      <c r="GQ145" s="850"/>
      <c r="GR145" s="851"/>
      <c r="GS145" s="844"/>
      <c r="GT145" s="845"/>
      <c r="GU145" s="846"/>
      <c r="GV145" s="847"/>
      <c r="GW145" s="848"/>
      <c r="GX145" s="849"/>
      <c r="GY145" s="850"/>
      <c r="GZ145" s="851"/>
      <c r="HA145" s="844"/>
      <c r="HB145" s="845"/>
      <c r="HC145" s="846"/>
      <c r="HD145" s="847"/>
      <c r="HE145" s="848"/>
      <c r="HF145" s="849"/>
      <c r="HG145" s="850"/>
      <c r="HH145" s="851"/>
      <c r="HI145" s="844"/>
      <c r="HJ145" s="845"/>
      <c r="HK145" s="846"/>
      <c r="HL145" s="847"/>
      <c r="HM145" s="848"/>
      <c r="HN145" s="849"/>
      <c r="HO145" s="850"/>
      <c r="HP145" s="851"/>
      <c r="HQ145" s="844"/>
      <c r="HR145" s="845"/>
      <c r="HS145" s="846"/>
      <c r="HT145" s="847"/>
      <c r="HU145" s="848"/>
      <c r="HV145" s="849"/>
      <c r="HW145" s="850"/>
      <c r="HX145" s="851"/>
      <c r="HY145" s="844"/>
      <c r="HZ145" s="845"/>
      <c r="IA145" s="846"/>
      <c r="IB145" s="847"/>
      <c r="IC145" s="848"/>
      <c r="ID145" s="849"/>
      <c r="IE145" s="850"/>
      <c r="IF145" s="851"/>
      <c r="IG145" s="844"/>
      <c r="IH145" s="845"/>
      <c r="II145" s="846"/>
      <c r="IJ145" s="847"/>
      <c r="IK145" s="848"/>
      <c r="IL145" s="849"/>
      <c r="IM145" s="850"/>
      <c r="IN145" s="851"/>
      <c r="IO145" s="844"/>
      <c r="IP145" s="845"/>
      <c r="IQ145" s="846"/>
      <c r="IR145" s="847"/>
      <c r="IS145" s="848"/>
      <c r="IT145" s="849"/>
      <c r="IU145" s="850"/>
      <c r="IV145" s="851"/>
    </row>
    <row r="146" spans="1:256" s="469" customFormat="1" ht="24" customHeight="1">
      <c r="A146" s="29" t="s">
        <v>457</v>
      </c>
      <c r="B146" s="29"/>
      <c r="C146" s="29"/>
      <c r="D146" s="29"/>
      <c r="E146" s="29" t="s">
        <v>458</v>
      </c>
      <c r="F146" s="29"/>
      <c r="G146" s="29"/>
      <c r="H146" s="29"/>
      <c r="I146" s="29" t="s">
        <v>457</v>
      </c>
      <c r="J146" s="29"/>
      <c r="K146" s="29"/>
      <c r="L146" s="29"/>
      <c r="M146" s="29" t="s">
        <v>458</v>
      </c>
      <c r="N146" s="29"/>
      <c r="O146" s="29"/>
      <c r="P146" s="29"/>
      <c r="Q146" s="29" t="s">
        <v>457</v>
      </c>
      <c r="R146" s="29"/>
      <c r="S146" s="29"/>
      <c r="T146" s="29"/>
      <c r="U146" s="29" t="s">
        <v>458</v>
      </c>
      <c r="V146" s="29"/>
      <c r="W146" s="29"/>
      <c r="X146" s="29"/>
      <c r="Y146" s="29" t="s">
        <v>457</v>
      </c>
      <c r="Z146" s="29"/>
      <c r="AA146" s="29"/>
      <c r="AB146" s="29"/>
      <c r="AC146" s="29" t="s">
        <v>458</v>
      </c>
      <c r="AD146" s="29"/>
      <c r="AE146" s="29"/>
      <c r="AF146" s="29"/>
      <c r="AG146" s="29" t="s">
        <v>457</v>
      </c>
      <c r="AH146" s="29"/>
      <c r="AI146" s="29"/>
      <c r="AJ146" s="29"/>
      <c r="AK146" s="29" t="s">
        <v>458</v>
      </c>
      <c r="AL146" s="29"/>
      <c r="AM146" s="29"/>
      <c r="AN146" s="29"/>
      <c r="AO146" s="29" t="s">
        <v>457</v>
      </c>
      <c r="AP146" s="29"/>
      <c r="AQ146" s="29"/>
      <c r="AR146" s="29"/>
      <c r="AS146" s="29" t="s">
        <v>458</v>
      </c>
      <c r="AT146" s="29"/>
      <c r="AU146" s="29"/>
      <c r="AV146" s="29"/>
      <c r="AW146" s="29" t="s">
        <v>457</v>
      </c>
      <c r="AX146" s="29"/>
      <c r="AY146" s="29"/>
      <c r="AZ146" s="29"/>
      <c r="BA146" s="29" t="s">
        <v>458</v>
      </c>
      <c r="BB146" s="29"/>
      <c r="BC146" s="29"/>
      <c r="BD146" s="29"/>
      <c r="BE146" s="29" t="s">
        <v>457</v>
      </c>
      <c r="BF146" s="29"/>
      <c r="BG146" s="29"/>
      <c r="BH146" s="29"/>
      <c r="BI146" s="29" t="s">
        <v>458</v>
      </c>
      <c r="BJ146" s="29"/>
      <c r="BK146" s="29"/>
      <c r="BL146" s="29"/>
      <c r="BM146" s="29" t="s">
        <v>457</v>
      </c>
      <c r="BN146" s="29"/>
      <c r="BO146" s="29"/>
      <c r="BP146" s="29"/>
      <c r="BQ146" s="29" t="s">
        <v>458</v>
      </c>
      <c r="BR146" s="29"/>
      <c r="BS146" s="29"/>
      <c r="BT146" s="29"/>
      <c r="BU146" s="29" t="s">
        <v>457</v>
      </c>
      <c r="BV146" s="29"/>
      <c r="BW146" s="29"/>
      <c r="BX146" s="29"/>
      <c r="BY146" s="29" t="s">
        <v>458</v>
      </c>
      <c r="BZ146" s="29"/>
      <c r="CA146" s="29"/>
      <c r="CB146" s="29"/>
      <c r="CC146" s="29" t="s">
        <v>457</v>
      </c>
      <c r="CD146" s="29"/>
      <c r="CE146" s="29"/>
      <c r="CF146" s="29"/>
      <c r="CG146" s="29" t="s">
        <v>458</v>
      </c>
      <c r="CH146" s="29"/>
      <c r="CI146" s="29"/>
      <c r="CJ146" s="29"/>
      <c r="CK146" s="29" t="s">
        <v>457</v>
      </c>
      <c r="CL146" s="29"/>
      <c r="CM146" s="29"/>
      <c r="CN146" s="29"/>
      <c r="CO146" s="29" t="s">
        <v>458</v>
      </c>
      <c r="CP146" s="29"/>
      <c r="CQ146" s="29"/>
      <c r="CR146" s="29"/>
      <c r="CS146" s="29" t="s">
        <v>457</v>
      </c>
      <c r="CT146" s="29"/>
      <c r="CU146" s="29"/>
      <c r="CV146" s="29"/>
      <c r="CW146" s="29" t="s">
        <v>458</v>
      </c>
      <c r="CX146" s="29"/>
      <c r="CY146" s="29"/>
      <c r="CZ146" s="29"/>
      <c r="DA146" s="29" t="s">
        <v>457</v>
      </c>
      <c r="DB146" s="29"/>
      <c r="DC146" s="29"/>
      <c r="DD146" s="29"/>
      <c r="DE146" s="29" t="s">
        <v>458</v>
      </c>
      <c r="DF146" s="29"/>
      <c r="DG146" s="29"/>
      <c r="DH146" s="29"/>
      <c r="DI146" s="29" t="s">
        <v>457</v>
      </c>
      <c r="DJ146" s="29"/>
      <c r="DK146" s="29"/>
      <c r="DL146" s="29"/>
      <c r="DM146" s="29" t="s">
        <v>458</v>
      </c>
      <c r="DN146" s="29"/>
      <c r="DO146" s="29"/>
      <c r="DP146" s="29"/>
      <c r="DQ146" s="29" t="s">
        <v>457</v>
      </c>
      <c r="DR146" s="29"/>
      <c r="DS146" s="29"/>
      <c r="DT146" s="29"/>
      <c r="DU146" s="29" t="s">
        <v>458</v>
      </c>
      <c r="DV146" s="29"/>
      <c r="DW146" s="29"/>
      <c r="DX146" s="29"/>
      <c r="DY146" s="29" t="s">
        <v>457</v>
      </c>
      <c r="DZ146" s="29"/>
      <c r="EA146" s="29"/>
      <c r="EB146" s="29"/>
      <c r="EC146" s="29" t="s">
        <v>458</v>
      </c>
      <c r="ED146" s="29"/>
      <c r="EE146" s="29"/>
      <c r="EF146" s="29"/>
      <c r="EG146" s="29" t="s">
        <v>457</v>
      </c>
      <c r="EH146" s="29"/>
      <c r="EI146" s="29"/>
      <c r="EJ146" s="29"/>
      <c r="EK146" s="29" t="s">
        <v>458</v>
      </c>
      <c r="EL146" s="29"/>
      <c r="EM146" s="29"/>
      <c r="EN146" s="29"/>
      <c r="EO146" s="29" t="s">
        <v>457</v>
      </c>
      <c r="EP146" s="29"/>
      <c r="EQ146" s="29"/>
      <c r="ER146" s="29"/>
      <c r="ES146" s="29" t="s">
        <v>458</v>
      </c>
      <c r="ET146" s="29"/>
      <c r="EU146" s="29"/>
      <c r="EV146" s="29"/>
      <c r="EW146" s="29" t="s">
        <v>457</v>
      </c>
      <c r="EX146" s="29"/>
      <c r="EY146" s="29"/>
      <c r="EZ146" s="29"/>
      <c r="FA146" s="29" t="s">
        <v>458</v>
      </c>
      <c r="FB146" s="29"/>
      <c r="FC146" s="29"/>
      <c r="FD146" s="29"/>
      <c r="FE146" s="29" t="s">
        <v>457</v>
      </c>
      <c r="FF146" s="29"/>
      <c r="FG146" s="29"/>
      <c r="FH146" s="29"/>
      <c r="FI146" s="29" t="s">
        <v>458</v>
      </c>
      <c r="FJ146" s="29"/>
      <c r="FK146" s="29"/>
      <c r="FL146" s="29"/>
      <c r="FM146" s="29" t="s">
        <v>457</v>
      </c>
      <c r="FN146" s="29"/>
      <c r="FO146" s="29"/>
      <c r="FP146" s="29"/>
      <c r="FQ146" s="29" t="s">
        <v>458</v>
      </c>
      <c r="FR146" s="29"/>
      <c r="FS146" s="29"/>
      <c r="FT146" s="29"/>
      <c r="FU146" s="29" t="s">
        <v>457</v>
      </c>
      <c r="FV146" s="29"/>
      <c r="FW146" s="29"/>
      <c r="FX146" s="29"/>
      <c r="FY146" s="29" t="s">
        <v>458</v>
      </c>
      <c r="FZ146" s="29"/>
      <c r="GA146" s="29"/>
      <c r="GB146" s="29"/>
      <c r="GC146" s="29" t="s">
        <v>457</v>
      </c>
      <c r="GD146" s="29"/>
      <c r="GE146" s="29"/>
      <c r="GF146" s="29"/>
      <c r="GG146" s="29" t="s">
        <v>458</v>
      </c>
      <c r="GH146" s="29"/>
      <c r="GI146" s="29"/>
      <c r="GJ146" s="29"/>
      <c r="GK146" s="29" t="s">
        <v>457</v>
      </c>
      <c r="GL146" s="29"/>
      <c r="GM146" s="29"/>
      <c r="GN146" s="29"/>
      <c r="GO146" s="29" t="s">
        <v>458</v>
      </c>
      <c r="GP146" s="29"/>
      <c r="GQ146" s="29"/>
      <c r="GR146" s="29"/>
      <c r="GS146" s="29" t="s">
        <v>457</v>
      </c>
      <c r="GT146" s="29"/>
      <c r="GU146" s="29"/>
      <c r="GV146" s="29"/>
      <c r="GW146" s="29" t="s">
        <v>458</v>
      </c>
      <c r="GX146" s="29"/>
      <c r="GY146" s="29"/>
      <c r="GZ146" s="29"/>
      <c r="HA146" s="29" t="s">
        <v>457</v>
      </c>
      <c r="HB146" s="29"/>
      <c r="HC146" s="29"/>
      <c r="HD146" s="29"/>
      <c r="HE146" s="29" t="s">
        <v>458</v>
      </c>
      <c r="HF146" s="29"/>
      <c r="HG146" s="29"/>
      <c r="HH146" s="29"/>
      <c r="HI146" s="29" t="s">
        <v>457</v>
      </c>
      <c r="HJ146" s="29"/>
      <c r="HK146" s="29"/>
      <c r="HL146" s="29"/>
      <c r="HM146" s="29" t="s">
        <v>458</v>
      </c>
      <c r="HN146" s="29"/>
      <c r="HO146" s="29"/>
      <c r="HP146" s="29"/>
      <c r="HQ146" s="29" t="s">
        <v>457</v>
      </c>
      <c r="HR146" s="29"/>
      <c r="HS146" s="29"/>
      <c r="HT146" s="29"/>
      <c r="HU146" s="29" t="s">
        <v>458</v>
      </c>
      <c r="HV146" s="29"/>
      <c r="HW146" s="29"/>
      <c r="HX146" s="29"/>
      <c r="HY146" s="29" t="s">
        <v>457</v>
      </c>
      <c r="HZ146" s="29"/>
      <c r="IA146" s="29"/>
      <c r="IB146" s="29"/>
      <c r="IC146" s="29" t="s">
        <v>458</v>
      </c>
      <c r="ID146" s="29"/>
      <c r="IE146" s="29"/>
      <c r="IF146" s="29"/>
      <c r="IG146" s="29" t="s">
        <v>457</v>
      </c>
      <c r="IH146" s="29"/>
      <c r="II146" s="29"/>
      <c r="IJ146" s="29"/>
      <c r="IK146" s="29" t="s">
        <v>458</v>
      </c>
      <c r="IL146" s="29"/>
      <c r="IM146" s="29"/>
      <c r="IN146" s="29"/>
      <c r="IO146" s="29" t="s">
        <v>457</v>
      </c>
      <c r="IP146" s="29"/>
      <c r="IQ146" s="29"/>
      <c r="IR146" s="29"/>
      <c r="IS146" s="29" t="s">
        <v>458</v>
      </c>
      <c r="IT146" s="29"/>
      <c r="IU146" s="29"/>
      <c r="IV146" s="29"/>
    </row>
    <row r="147" spans="1:6" s="469" customFormat="1" ht="24.75" customHeight="1">
      <c r="A147" s="1659" t="str">
        <f>A117</f>
        <v>經濟部水利署第十河川局</v>
      </c>
      <c r="B147" s="1659"/>
      <c r="C147" s="1659"/>
      <c r="D147" s="1659"/>
      <c r="E147" s="1659"/>
      <c r="F147" s="1659"/>
    </row>
    <row r="148" spans="1:6" s="469" customFormat="1" ht="24.75" customHeight="1">
      <c r="A148" s="1659" t="s">
        <v>307</v>
      </c>
      <c r="B148" s="1659"/>
      <c r="C148" s="1659"/>
      <c r="D148" s="1659"/>
      <c r="E148" s="1659"/>
      <c r="F148" s="1659"/>
    </row>
    <row r="149" spans="1:6" s="469" customFormat="1" ht="24.75" customHeight="1">
      <c r="A149" s="1658" t="str">
        <f>A119</f>
        <v>工程名稱:基隆河整體治理計劃（前期計劃）瑞芳區塊介壽橋下游左右岸護岸工程</v>
      </c>
      <c r="B149" s="1658"/>
      <c r="C149" s="1658"/>
      <c r="D149" s="1658"/>
      <c r="E149" s="1658"/>
      <c r="F149" s="1658"/>
    </row>
    <row r="150" spans="1:6" s="469" customFormat="1" ht="24.75" customHeight="1" thickBot="1">
      <c r="A150" s="1660" t="str">
        <f>A120</f>
        <v>施工地點：台北縣瑞芳鎮</v>
      </c>
      <c r="B150" s="1660"/>
      <c r="C150" s="1660"/>
      <c r="D150" s="501"/>
      <c r="E150" s="1661" t="s">
        <v>1406</v>
      </c>
      <c r="F150" s="1661"/>
    </row>
    <row r="151" spans="1:6" s="469" customFormat="1" ht="24" customHeight="1">
      <c r="A151" s="866">
        <v>24</v>
      </c>
      <c r="B151" s="1217" t="str">
        <f>'第一號明細表'!A38</f>
        <v>拋塊(角)石 （粒徑平均≧60cm）</v>
      </c>
      <c r="C151" s="867" t="str">
        <f>'第一號明細表'!C38</f>
        <v>m3</v>
      </c>
      <c r="D151" s="1369" t="s">
        <v>1160</v>
      </c>
      <c r="E151" s="868">
        <f>2571+4199+11115</f>
        <v>17885</v>
      </c>
      <c r="F151" s="1303" t="s">
        <v>1314</v>
      </c>
    </row>
    <row r="152" spans="1:6" s="469" customFormat="1" ht="24" customHeight="1">
      <c r="A152" s="502"/>
      <c r="B152" s="402"/>
      <c r="C152" s="279"/>
      <c r="D152" s="1355" t="s">
        <v>1212</v>
      </c>
      <c r="E152" s="242"/>
      <c r="F152" s="1226" t="s">
        <v>1188</v>
      </c>
    </row>
    <row r="153" spans="1:6" s="469" customFormat="1" ht="24" customHeight="1">
      <c r="A153" s="502"/>
      <c r="B153" s="402"/>
      <c r="C153" s="279"/>
      <c r="D153" s="1355" t="s">
        <v>1213</v>
      </c>
      <c r="E153" s="242"/>
      <c r="F153" s="1226" t="s">
        <v>1302</v>
      </c>
    </row>
    <row r="154" spans="1:6" s="469" customFormat="1" ht="24" customHeight="1">
      <c r="A154" s="502"/>
      <c r="B154" s="402"/>
      <c r="C154" s="279"/>
      <c r="D154" s="1355"/>
      <c r="E154" s="242"/>
      <c r="F154" s="1226"/>
    </row>
    <row r="155" spans="1:6" s="469" customFormat="1" ht="24" customHeight="1">
      <c r="A155" s="502">
        <v>25</v>
      </c>
      <c r="B155" s="402" t="str">
        <f>'第一號明細表'!A39</f>
        <v>機編高鍍鋅(被覆P.V.C.)石籠3m*1m*1m</v>
      </c>
      <c r="C155" s="279" t="str">
        <f>'第一號明細表'!C39</f>
        <v>組</v>
      </c>
      <c r="D155" s="1355" t="s">
        <v>1163</v>
      </c>
      <c r="E155" s="242">
        <v>703</v>
      </c>
      <c r="F155" s="1226" t="s">
        <v>1162</v>
      </c>
    </row>
    <row r="156" spans="1:6" s="469" customFormat="1" ht="24" customHeight="1">
      <c r="A156" s="502"/>
      <c r="B156" s="402"/>
      <c r="C156" s="279"/>
      <c r="D156" s="1355"/>
      <c r="E156" s="242"/>
      <c r="F156" s="1226"/>
    </row>
    <row r="157" spans="1:6" s="469" customFormat="1" ht="24" customHeight="1">
      <c r="A157" s="502">
        <v>26</v>
      </c>
      <c r="B157" s="402" t="str">
        <f>'第一號明細表'!A40</f>
        <v>噴附基材植生</v>
      </c>
      <c r="C157" s="279" t="str">
        <f>'第一號明細表'!C40</f>
        <v>m2</v>
      </c>
      <c r="D157" s="1355" t="s">
        <v>1403</v>
      </c>
      <c r="E157" s="242">
        <f>2661+1112</f>
        <v>3773</v>
      </c>
      <c r="F157" s="1226" t="s">
        <v>1162</v>
      </c>
    </row>
    <row r="158" spans="1:6" s="469" customFormat="1" ht="24" customHeight="1">
      <c r="A158" s="502"/>
      <c r="B158" s="402"/>
      <c r="C158" s="279"/>
      <c r="D158" s="1355" t="s">
        <v>1233</v>
      </c>
      <c r="E158" s="242"/>
      <c r="F158" s="1226" t="s">
        <v>1303</v>
      </c>
    </row>
    <row r="159" spans="1:6" s="469" customFormat="1" ht="24" customHeight="1">
      <c r="A159" s="502"/>
      <c r="B159" s="402"/>
      <c r="C159" s="279"/>
      <c r="D159" s="1355"/>
      <c r="E159" s="242"/>
      <c r="F159" s="1226"/>
    </row>
    <row r="160" spans="1:6" s="469" customFormat="1" ht="24" customHeight="1">
      <c r="A160" s="502">
        <v>27</v>
      </c>
      <c r="B160" s="402" t="str">
        <f>'第一號明細表'!A41</f>
        <v>合纖透水織布</v>
      </c>
      <c r="C160" s="279" t="str">
        <f>'第一號明細表'!C41</f>
        <v>M2</v>
      </c>
      <c r="D160" s="1355" t="s">
        <v>1164</v>
      </c>
      <c r="E160" s="242">
        <f>2108+2448+2223</f>
        <v>6779</v>
      </c>
      <c r="F160" s="1226" t="s">
        <v>1304</v>
      </c>
    </row>
    <row r="161" spans="1:6" s="469" customFormat="1" ht="24" customHeight="1">
      <c r="A161" s="502"/>
      <c r="B161" s="402"/>
      <c r="C161" s="279"/>
      <c r="D161" s="1355" t="s">
        <v>41</v>
      </c>
      <c r="E161" s="242"/>
      <c r="F161" s="1226" t="s">
        <v>1305</v>
      </c>
    </row>
    <row r="162" spans="1:6" s="469" customFormat="1" ht="24" customHeight="1">
      <c r="A162" s="502"/>
      <c r="B162" s="402"/>
      <c r="C162" s="279"/>
      <c r="D162" s="1355" t="s">
        <v>1214</v>
      </c>
      <c r="E162" s="242"/>
      <c r="F162" s="1226" t="s">
        <v>1306</v>
      </c>
    </row>
    <row r="163" spans="1:6" s="469" customFormat="1" ht="24" customHeight="1">
      <c r="A163" s="502"/>
      <c r="B163" s="402"/>
      <c r="C163" s="279"/>
      <c r="D163" s="1355"/>
      <c r="E163" s="242"/>
      <c r="F163" s="1226"/>
    </row>
    <row r="164" spans="1:6" s="469" customFormat="1" ht="24" customHeight="1">
      <c r="A164" s="502">
        <v>28</v>
      </c>
      <c r="B164" s="402" t="str">
        <f>'第一號明細表'!A42</f>
        <v>碎石級配</v>
      </c>
      <c r="C164" s="279" t="str">
        <f>'第一號明細表'!C42</f>
        <v>m3</v>
      </c>
      <c r="D164" s="1355" t="s">
        <v>1165</v>
      </c>
      <c r="E164" s="242">
        <f>1530+527</f>
        <v>2057</v>
      </c>
      <c r="F164" s="1226" t="s">
        <v>1307</v>
      </c>
    </row>
    <row r="165" spans="1:6" s="469" customFormat="1" ht="24" customHeight="1">
      <c r="A165" s="502"/>
      <c r="B165" s="402"/>
      <c r="C165" s="279"/>
      <c r="D165" s="1355" t="s">
        <v>1215</v>
      </c>
      <c r="E165" s="242"/>
      <c r="F165" s="1226" t="s">
        <v>1308</v>
      </c>
    </row>
    <row r="166" spans="1:6" s="469" customFormat="1" ht="24" customHeight="1">
      <c r="A166" s="502"/>
      <c r="B166" s="402"/>
      <c r="C166" s="279"/>
      <c r="D166" s="1355"/>
      <c r="E166" s="242"/>
      <c r="F166" s="1226"/>
    </row>
    <row r="167" spans="1:6" s="469" customFormat="1" ht="24" customHeight="1">
      <c r="A167" s="502">
        <v>29</v>
      </c>
      <c r="B167" s="402" t="str">
        <f>'第一號明細表'!A43</f>
        <v>路床滾壓</v>
      </c>
      <c r="C167" s="279" t="str">
        <f>'第一號明細表'!C43</f>
        <v>m2</v>
      </c>
      <c r="D167" s="1355" t="s">
        <v>39</v>
      </c>
      <c r="E167" s="242">
        <f>2652+1235</f>
        <v>3887</v>
      </c>
      <c r="F167" s="1226" t="s">
        <v>1307</v>
      </c>
    </row>
    <row r="168" spans="1:6" s="469" customFormat="1" ht="24" customHeight="1">
      <c r="A168" s="502"/>
      <c r="B168" s="402"/>
      <c r="C168" s="279"/>
      <c r="D168" s="1355" t="s">
        <v>1216</v>
      </c>
      <c r="E168" s="242"/>
      <c r="F168" s="1226" t="s">
        <v>1309</v>
      </c>
    </row>
    <row r="169" spans="1:6" s="469" customFormat="1" ht="24" customHeight="1">
      <c r="A169" s="502"/>
      <c r="B169" s="402"/>
      <c r="C169" s="279"/>
      <c r="D169" s="1355"/>
      <c r="E169" s="242"/>
      <c r="F169" s="1226"/>
    </row>
    <row r="170" spans="1:6" s="469" customFormat="1" ht="24" customHeight="1">
      <c r="A170" s="502">
        <v>30</v>
      </c>
      <c r="B170" s="402" t="str">
        <f>'第一號明細表'!A44</f>
        <v>鋪設透層</v>
      </c>
      <c r="C170" s="279" t="str">
        <f>'第一號明細表'!C44</f>
        <v>m2</v>
      </c>
      <c r="D170" s="1355" t="s">
        <v>39</v>
      </c>
      <c r="E170" s="242">
        <v>3887</v>
      </c>
      <c r="F170" s="1226" t="s">
        <v>1307</v>
      </c>
    </row>
    <row r="171" spans="1:6" s="469" customFormat="1" ht="24" customHeight="1">
      <c r="A171" s="502"/>
      <c r="B171" s="402"/>
      <c r="C171" s="279"/>
      <c r="D171" s="1355" t="s">
        <v>1216</v>
      </c>
      <c r="E171" s="242"/>
      <c r="F171" s="1226" t="s">
        <v>1309</v>
      </c>
    </row>
    <row r="172" spans="1:6" s="469" customFormat="1" ht="24" customHeight="1">
      <c r="A172" s="502"/>
      <c r="B172" s="402"/>
      <c r="C172" s="279"/>
      <c r="D172" s="1355"/>
      <c r="E172" s="242"/>
      <c r="F172" s="1226"/>
    </row>
    <row r="173" spans="1:6" s="469" customFormat="1" ht="24" customHeight="1">
      <c r="A173" s="502">
        <v>31</v>
      </c>
      <c r="B173" s="402" t="str">
        <f>'第一號明細表'!A45</f>
        <v>舖設黏層(150℃  AC)</v>
      </c>
      <c r="C173" s="279" t="str">
        <f>'第一號明細表'!C45</f>
        <v>m2</v>
      </c>
      <c r="D173" s="1355" t="s">
        <v>39</v>
      </c>
      <c r="E173" s="242">
        <v>3887</v>
      </c>
      <c r="F173" s="1226" t="s">
        <v>1307</v>
      </c>
    </row>
    <row r="174" spans="1:6" s="469" customFormat="1" ht="24" customHeight="1" thickBot="1">
      <c r="A174" s="863"/>
      <c r="B174" s="1216"/>
      <c r="C174" s="734"/>
      <c r="D174" s="513" t="s">
        <v>1216</v>
      </c>
      <c r="E174" s="735"/>
      <c r="F174" s="1302" t="s">
        <v>1309</v>
      </c>
    </row>
    <row r="175" spans="1:256" s="469" customFormat="1" ht="24" customHeight="1">
      <c r="A175" s="844"/>
      <c r="B175" s="845"/>
      <c r="C175" s="846"/>
      <c r="D175" s="847"/>
      <c r="E175" s="848"/>
      <c r="F175" s="849"/>
      <c r="G175" s="850"/>
      <c r="H175" s="851"/>
      <c r="I175" s="844"/>
      <c r="J175" s="845"/>
      <c r="K175" s="846"/>
      <c r="L175" s="847"/>
      <c r="M175" s="848"/>
      <c r="N175" s="849"/>
      <c r="O175" s="850"/>
      <c r="P175" s="851"/>
      <c r="Q175" s="844"/>
      <c r="R175" s="845"/>
      <c r="S175" s="846"/>
      <c r="T175" s="847"/>
      <c r="U175" s="848"/>
      <c r="V175" s="849"/>
      <c r="W175" s="850"/>
      <c r="X175" s="851"/>
      <c r="Y175" s="844"/>
      <c r="Z175" s="845"/>
      <c r="AA175" s="846"/>
      <c r="AB175" s="847"/>
      <c r="AC175" s="848"/>
      <c r="AD175" s="849"/>
      <c r="AE175" s="850"/>
      <c r="AF175" s="851"/>
      <c r="AG175" s="844"/>
      <c r="AH175" s="845"/>
      <c r="AI175" s="846"/>
      <c r="AJ175" s="847"/>
      <c r="AK175" s="848"/>
      <c r="AL175" s="849"/>
      <c r="AM175" s="850"/>
      <c r="AN175" s="851"/>
      <c r="AO175" s="844"/>
      <c r="AP175" s="845"/>
      <c r="AQ175" s="846"/>
      <c r="AR175" s="847"/>
      <c r="AS175" s="848"/>
      <c r="AT175" s="849"/>
      <c r="AU175" s="850"/>
      <c r="AV175" s="851"/>
      <c r="AW175" s="844"/>
      <c r="AX175" s="845"/>
      <c r="AY175" s="846"/>
      <c r="AZ175" s="847"/>
      <c r="BA175" s="848"/>
      <c r="BB175" s="849"/>
      <c r="BC175" s="850"/>
      <c r="BD175" s="851"/>
      <c r="BE175" s="844"/>
      <c r="BF175" s="845"/>
      <c r="BG175" s="846"/>
      <c r="BH175" s="847"/>
      <c r="BI175" s="848"/>
      <c r="BJ175" s="849"/>
      <c r="BK175" s="850"/>
      <c r="BL175" s="851"/>
      <c r="BM175" s="844"/>
      <c r="BN175" s="845"/>
      <c r="BO175" s="846"/>
      <c r="BP175" s="847"/>
      <c r="BQ175" s="848"/>
      <c r="BR175" s="849"/>
      <c r="BS175" s="850"/>
      <c r="BT175" s="851"/>
      <c r="BU175" s="844"/>
      <c r="BV175" s="845"/>
      <c r="BW175" s="846"/>
      <c r="BX175" s="847"/>
      <c r="BY175" s="848"/>
      <c r="BZ175" s="849"/>
      <c r="CA175" s="850"/>
      <c r="CB175" s="851"/>
      <c r="CC175" s="844"/>
      <c r="CD175" s="845"/>
      <c r="CE175" s="846"/>
      <c r="CF175" s="847"/>
      <c r="CG175" s="848"/>
      <c r="CH175" s="849"/>
      <c r="CI175" s="850"/>
      <c r="CJ175" s="851"/>
      <c r="CK175" s="844"/>
      <c r="CL175" s="845"/>
      <c r="CM175" s="846"/>
      <c r="CN175" s="847"/>
      <c r="CO175" s="848"/>
      <c r="CP175" s="849"/>
      <c r="CQ175" s="850"/>
      <c r="CR175" s="851"/>
      <c r="CS175" s="844"/>
      <c r="CT175" s="845"/>
      <c r="CU175" s="846"/>
      <c r="CV175" s="847"/>
      <c r="CW175" s="848"/>
      <c r="CX175" s="849"/>
      <c r="CY175" s="850"/>
      <c r="CZ175" s="851"/>
      <c r="DA175" s="844"/>
      <c r="DB175" s="845"/>
      <c r="DC175" s="846"/>
      <c r="DD175" s="847"/>
      <c r="DE175" s="848"/>
      <c r="DF175" s="849"/>
      <c r="DG175" s="850"/>
      <c r="DH175" s="851"/>
      <c r="DI175" s="844"/>
      <c r="DJ175" s="845"/>
      <c r="DK175" s="846"/>
      <c r="DL175" s="847"/>
      <c r="DM175" s="848"/>
      <c r="DN175" s="849"/>
      <c r="DO175" s="850"/>
      <c r="DP175" s="851"/>
      <c r="DQ175" s="844"/>
      <c r="DR175" s="845"/>
      <c r="DS175" s="846"/>
      <c r="DT175" s="847"/>
      <c r="DU175" s="848"/>
      <c r="DV175" s="849"/>
      <c r="DW175" s="850"/>
      <c r="DX175" s="851"/>
      <c r="DY175" s="844"/>
      <c r="DZ175" s="845"/>
      <c r="EA175" s="846"/>
      <c r="EB175" s="847"/>
      <c r="EC175" s="848"/>
      <c r="ED175" s="849"/>
      <c r="EE175" s="850"/>
      <c r="EF175" s="851"/>
      <c r="EG175" s="844"/>
      <c r="EH175" s="845"/>
      <c r="EI175" s="846"/>
      <c r="EJ175" s="847"/>
      <c r="EK175" s="848"/>
      <c r="EL175" s="849"/>
      <c r="EM175" s="850"/>
      <c r="EN175" s="851"/>
      <c r="EO175" s="844"/>
      <c r="EP175" s="845"/>
      <c r="EQ175" s="846"/>
      <c r="ER175" s="847"/>
      <c r="ES175" s="848"/>
      <c r="ET175" s="849"/>
      <c r="EU175" s="850"/>
      <c r="EV175" s="851"/>
      <c r="EW175" s="844"/>
      <c r="EX175" s="845"/>
      <c r="EY175" s="846"/>
      <c r="EZ175" s="847"/>
      <c r="FA175" s="848"/>
      <c r="FB175" s="849"/>
      <c r="FC175" s="850"/>
      <c r="FD175" s="851"/>
      <c r="FE175" s="844"/>
      <c r="FF175" s="845"/>
      <c r="FG175" s="846"/>
      <c r="FH175" s="847"/>
      <c r="FI175" s="848"/>
      <c r="FJ175" s="849"/>
      <c r="FK175" s="850"/>
      <c r="FL175" s="851"/>
      <c r="FM175" s="844"/>
      <c r="FN175" s="845"/>
      <c r="FO175" s="846"/>
      <c r="FP175" s="847"/>
      <c r="FQ175" s="848"/>
      <c r="FR175" s="849"/>
      <c r="FS175" s="850"/>
      <c r="FT175" s="851"/>
      <c r="FU175" s="844"/>
      <c r="FV175" s="845"/>
      <c r="FW175" s="846"/>
      <c r="FX175" s="847"/>
      <c r="FY175" s="848"/>
      <c r="FZ175" s="849"/>
      <c r="GA175" s="850"/>
      <c r="GB175" s="851"/>
      <c r="GC175" s="844"/>
      <c r="GD175" s="845"/>
      <c r="GE175" s="846"/>
      <c r="GF175" s="847"/>
      <c r="GG175" s="848"/>
      <c r="GH175" s="849"/>
      <c r="GI175" s="850"/>
      <c r="GJ175" s="851"/>
      <c r="GK175" s="844"/>
      <c r="GL175" s="845"/>
      <c r="GM175" s="846"/>
      <c r="GN175" s="847"/>
      <c r="GO175" s="848"/>
      <c r="GP175" s="849"/>
      <c r="GQ175" s="850"/>
      <c r="GR175" s="851"/>
      <c r="GS175" s="844"/>
      <c r="GT175" s="845"/>
      <c r="GU175" s="846"/>
      <c r="GV175" s="847"/>
      <c r="GW175" s="848"/>
      <c r="GX175" s="849"/>
      <c r="GY175" s="850"/>
      <c r="GZ175" s="851"/>
      <c r="HA175" s="844"/>
      <c r="HB175" s="845"/>
      <c r="HC175" s="846"/>
      <c r="HD175" s="847"/>
      <c r="HE175" s="848"/>
      <c r="HF175" s="849"/>
      <c r="HG175" s="850"/>
      <c r="HH175" s="851"/>
      <c r="HI175" s="844"/>
      <c r="HJ175" s="845"/>
      <c r="HK175" s="846"/>
      <c r="HL175" s="847"/>
      <c r="HM175" s="848"/>
      <c r="HN175" s="849"/>
      <c r="HO175" s="850"/>
      <c r="HP175" s="851"/>
      <c r="HQ175" s="844"/>
      <c r="HR175" s="845"/>
      <c r="HS175" s="846"/>
      <c r="HT175" s="847"/>
      <c r="HU175" s="848"/>
      <c r="HV175" s="849"/>
      <c r="HW175" s="850"/>
      <c r="HX175" s="851"/>
      <c r="HY175" s="844"/>
      <c r="HZ175" s="845"/>
      <c r="IA175" s="846"/>
      <c r="IB175" s="847"/>
      <c r="IC175" s="848"/>
      <c r="ID175" s="849"/>
      <c r="IE175" s="850"/>
      <c r="IF175" s="851"/>
      <c r="IG175" s="844"/>
      <c r="IH175" s="845"/>
      <c r="II175" s="846"/>
      <c r="IJ175" s="847"/>
      <c r="IK175" s="848"/>
      <c r="IL175" s="849"/>
      <c r="IM175" s="850"/>
      <c r="IN175" s="851"/>
      <c r="IO175" s="844"/>
      <c r="IP175" s="845"/>
      <c r="IQ175" s="846"/>
      <c r="IR175" s="847"/>
      <c r="IS175" s="848"/>
      <c r="IT175" s="849"/>
      <c r="IU175" s="850"/>
      <c r="IV175" s="851"/>
    </row>
    <row r="176" spans="1:256" s="469" customFormat="1" ht="24" customHeight="1">
      <c r="A176" s="29" t="s">
        <v>457</v>
      </c>
      <c r="B176" s="29"/>
      <c r="C176" s="29"/>
      <c r="D176" s="29"/>
      <c r="E176" s="29" t="s">
        <v>458</v>
      </c>
      <c r="F176" s="29"/>
      <c r="G176" s="29"/>
      <c r="H176" s="29"/>
      <c r="I176" s="29" t="s">
        <v>457</v>
      </c>
      <c r="J176" s="29"/>
      <c r="K176" s="29"/>
      <c r="L176" s="29"/>
      <c r="M176" s="29" t="s">
        <v>458</v>
      </c>
      <c r="N176" s="29"/>
      <c r="O176" s="29"/>
      <c r="P176" s="29"/>
      <c r="Q176" s="29" t="s">
        <v>457</v>
      </c>
      <c r="R176" s="29"/>
      <c r="S176" s="29"/>
      <c r="T176" s="29"/>
      <c r="U176" s="29" t="s">
        <v>458</v>
      </c>
      <c r="V176" s="29"/>
      <c r="W176" s="29"/>
      <c r="X176" s="29"/>
      <c r="Y176" s="29" t="s">
        <v>457</v>
      </c>
      <c r="Z176" s="29"/>
      <c r="AA176" s="29"/>
      <c r="AB176" s="29"/>
      <c r="AC176" s="29" t="s">
        <v>458</v>
      </c>
      <c r="AD176" s="29"/>
      <c r="AE176" s="29"/>
      <c r="AF176" s="29"/>
      <c r="AG176" s="29" t="s">
        <v>457</v>
      </c>
      <c r="AH176" s="29"/>
      <c r="AI176" s="29"/>
      <c r="AJ176" s="29"/>
      <c r="AK176" s="29" t="s">
        <v>458</v>
      </c>
      <c r="AL176" s="29"/>
      <c r="AM176" s="29"/>
      <c r="AN176" s="29"/>
      <c r="AO176" s="29" t="s">
        <v>457</v>
      </c>
      <c r="AP176" s="29"/>
      <c r="AQ176" s="29"/>
      <c r="AR176" s="29"/>
      <c r="AS176" s="29" t="s">
        <v>458</v>
      </c>
      <c r="AT176" s="29"/>
      <c r="AU176" s="29"/>
      <c r="AV176" s="29"/>
      <c r="AW176" s="29" t="s">
        <v>457</v>
      </c>
      <c r="AX176" s="29"/>
      <c r="AY176" s="29"/>
      <c r="AZ176" s="29"/>
      <c r="BA176" s="29" t="s">
        <v>458</v>
      </c>
      <c r="BB176" s="29"/>
      <c r="BC176" s="29"/>
      <c r="BD176" s="29"/>
      <c r="BE176" s="29" t="s">
        <v>457</v>
      </c>
      <c r="BF176" s="29"/>
      <c r="BG176" s="29"/>
      <c r="BH176" s="29"/>
      <c r="BI176" s="29" t="s">
        <v>458</v>
      </c>
      <c r="BJ176" s="29"/>
      <c r="BK176" s="29"/>
      <c r="BL176" s="29"/>
      <c r="BM176" s="29" t="s">
        <v>457</v>
      </c>
      <c r="BN176" s="29"/>
      <c r="BO176" s="29"/>
      <c r="BP176" s="29"/>
      <c r="BQ176" s="29" t="s">
        <v>458</v>
      </c>
      <c r="BR176" s="29"/>
      <c r="BS176" s="29"/>
      <c r="BT176" s="29"/>
      <c r="BU176" s="29" t="s">
        <v>457</v>
      </c>
      <c r="BV176" s="29"/>
      <c r="BW176" s="29"/>
      <c r="BX176" s="29"/>
      <c r="BY176" s="29" t="s">
        <v>458</v>
      </c>
      <c r="BZ176" s="29"/>
      <c r="CA176" s="29"/>
      <c r="CB176" s="29"/>
      <c r="CC176" s="29" t="s">
        <v>457</v>
      </c>
      <c r="CD176" s="29"/>
      <c r="CE176" s="29"/>
      <c r="CF176" s="29"/>
      <c r="CG176" s="29" t="s">
        <v>458</v>
      </c>
      <c r="CH176" s="29"/>
      <c r="CI176" s="29"/>
      <c r="CJ176" s="29"/>
      <c r="CK176" s="29" t="s">
        <v>457</v>
      </c>
      <c r="CL176" s="29"/>
      <c r="CM176" s="29"/>
      <c r="CN176" s="29"/>
      <c r="CO176" s="29" t="s">
        <v>458</v>
      </c>
      <c r="CP176" s="29"/>
      <c r="CQ176" s="29"/>
      <c r="CR176" s="29"/>
      <c r="CS176" s="29" t="s">
        <v>457</v>
      </c>
      <c r="CT176" s="29"/>
      <c r="CU176" s="29"/>
      <c r="CV176" s="29"/>
      <c r="CW176" s="29" t="s">
        <v>458</v>
      </c>
      <c r="CX176" s="29"/>
      <c r="CY176" s="29"/>
      <c r="CZ176" s="29"/>
      <c r="DA176" s="29" t="s">
        <v>457</v>
      </c>
      <c r="DB176" s="29"/>
      <c r="DC176" s="29"/>
      <c r="DD176" s="29"/>
      <c r="DE176" s="29" t="s">
        <v>458</v>
      </c>
      <c r="DF176" s="29"/>
      <c r="DG176" s="29"/>
      <c r="DH176" s="29"/>
      <c r="DI176" s="29" t="s">
        <v>457</v>
      </c>
      <c r="DJ176" s="29"/>
      <c r="DK176" s="29"/>
      <c r="DL176" s="29"/>
      <c r="DM176" s="29" t="s">
        <v>458</v>
      </c>
      <c r="DN176" s="29"/>
      <c r="DO176" s="29"/>
      <c r="DP176" s="29"/>
      <c r="DQ176" s="29" t="s">
        <v>457</v>
      </c>
      <c r="DR176" s="29"/>
      <c r="DS176" s="29"/>
      <c r="DT176" s="29"/>
      <c r="DU176" s="29" t="s">
        <v>458</v>
      </c>
      <c r="DV176" s="29"/>
      <c r="DW176" s="29"/>
      <c r="DX176" s="29"/>
      <c r="DY176" s="29" t="s">
        <v>457</v>
      </c>
      <c r="DZ176" s="29"/>
      <c r="EA176" s="29"/>
      <c r="EB176" s="29"/>
      <c r="EC176" s="29" t="s">
        <v>458</v>
      </c>
      <c r="ED176" s="29"/>
      <c r="EE176" s="29"/>
      <c r="EF176" s="29"/>
      <c r="EG176" s="29" t="s">
        <v>457</v>
      </c>
      <c r="EH176" s="29"/>
      <c r="EI176" s="29"/>
      <c r="EJ176" s="29"/>
      <c r="EK176" s="29" t="s">
        <v>458</v>
      </c>
      <c r="EL176" s="29"/>
      <c r="EM176" s="29"/>
      <c r="EN176" s="29"/>
      <c r="EO176" s="29" t="s">
        <v>457</v>
      </c>
      <c r="EP176" s="29"/>
      <c r="EQ176" s="29"/>
      <c r="ER176" s="29"/>
      <c r="ES176" s="29" t="s">
        <v>458</v>
      </c>
      <c r="ET176" s="29"/>
      <c r="EU176" s="29"/>
      <c r="EV176" s="29"/>
      <c r="EW176" s="29" t="s">
        <v>457</v>
      </c>
      <c r="EX176" s="29"/>
      <c r="EY176" s="29"/>
      <c r="EZ176" s="29"/>
      <c r="FA176" s="29" t="s">
        <v>458</v>
      </c>
      <c r="FB176" s="29"/>
      <c r="FC176" s="29"/>
      <c r="FD176" s="29"/>
      <c r="FE176" s="29" t="s">
        <v>457</v>
      </c>
      <c r="FF176" s="29"/>
      <c r="FG176" s="29"/>
      <c r="FH176" s="29"/>
      <c r="FI176" s="29" t="s">
        <v>458</v>
      </c>
      <c r="FJ176" s="29"/>
      <c r="FK176" s="29"/>
      <c r="FL176" s="29"/>
      <c r="FM176" s="29" t="s">
        <v>457</v>
      </c>
      <c r="FN176" s="29"/>
      <c r="FO176" s="29"/>
      <c r="FP176" s="29"/>
      <c r="FQ176" s="29" t="s">
        <v>458</v>
      </c>
      <c r="FR176" s="29"/>
      <c r="FS176" s="29"/>
      <c r="FT176" s="29"/>
      <c r="FU176" s="29" t="s">
        <v>457</v>
      </c>
      <c r="FV176" s="29"/>
      <c r="FW176" s="29"/>
      <c r="FX176" s="29"/>
      <c r="FY176" s="29" t="s">
        <v>458</v>
      </c>
      <c r="FZ176" s="29"/>
      <c r="GA176" s="29"/>
      <c r="GB176" s="29"/>
      <c r="GC176" s="29" t="s">
        <v>457</v>
      </c>
      <c r="GD176" s="29"/>
      <c r="GE176" s="29"/>
      <c r="GF176" s="29"/>
      <c r="GG176" s="29" t="s">
        <v>458</v>
      </c>
      <c r="GH176" s="29"/>
      <c r="GI176" s="29"/>
      <c r="GJ176" s="29"/>
      <c r="GK176" s="29" t="s">
        <v>457</v>
      </c>
      <c r="GL176" s="29"/>
      <c r="GM176" s="29"/>
      <c r="GN176" s="29"/>
      <c r="GO176" s="29" t="s">
        <v>458</v>
      </c>
      <c r="GP176" s="29"/>
      <c r="GQ176" s="29"/>
      <c r="GR176" s="29"/>
      <c r="GS176" s="29" t="s">
        <v>457</v>
      </c>
      <c r="GT176" s="29"/>
      <c r="GU176" s="29"/>
      <c r="GV176" s="29"/>
      <c r="GW176" s="29" t="s">
        <v>458</v>
      </c>
      <c r="GX176" s="29"/>
      <c r="GY176" s="29"/>
      <c r="GZ176" s="29"/>
      <c r="HA176" s="29" t="s">
        <v>457</v>
      </c>
      <c r="HB176" s="29"/>
      <c r="HC176" s="29"/>
      <c r="HD176" s="29"/>
      <c r="HE176" s="29" t="s">
        <v>458</v>
      </c>
      <c r="HF176" s="29"/>
      <c r="HG176" s="29"/>
      <c r="HH176" s="29"/>
      <c r="HI176" s="29" t="s">
        <v>457</v>
      </c>
      <c r="HJ176" s="29"/>
      <c r="HK176" s="29"/>
      <c r="HL176" s="29"/>
      <c r="HM176" s="29" t="s">
        <v>458</v>
      </c>
      <c r="HN176" s="29"/>
      <c r="HO176" s="29"/>
      <c r="HP176" s="29"/>
      <c r="HQ176" s="29" t="s">
        <v>457</v>
      </c>
      <c r="HR176" s="29"/>
      <c r="HS176" s="29"/>
      <c r="HT176" s="29"/>
      <c r="HU176" s="29" t="s">
        <v>458</v>
      </c>
      <c r="HV176" s="29"/>
      <c r="HW176" s="29"/>
      <c r="HX176" s="29"/>
      <c r="HY176" s="29" t="s">
        <v>457</v>
      </c>
      <c r="HZ176" s="29"/>
      <c r="IA176" s="29"/>
      <c r="IB176" s="29"/>
      <c r="IC176" s="29" t="s">
        <v>458</v>
      </c>
      <c r="ID176" s="29"/>
      <c r="IE176" s="29"/>
      <c r="IF176" s="29"/>
      <c r="IG176" s="29" t="s">
        <v>457</v>
      </c>
      <c r="IH176" s="29"/>
      <c r="II176" s="29"/>
      <c r="IJ176" s="29"/>
      <c r="IK176" s="29" t="s">
        <v>458</v>
      </c>
      <c r="IL176" s="29"/>
      <c r="IM176" s="29"/>
      <c r="IN176" s="29"/>
      <c r="IO176" s="29" t="s">
        <v>457</v>
      </c>
      <c r="IP176" s="29"/>
      <c r="IQ176" s="29"/>
      <c r="IR176" s="29"/>
      <c r="IS176" s="29" t="s">
        <v>458</v>
      </c>
      <c r="IT176" s="29"/>
      <c r="IU176" s="29"/>
      <c r="IV176" s="29"/>
    </row>
    <row r="177" spans="1:6" s="469" customFormat="1" ht="24.75" customHeight="1">
      <c r="A177" s="1659" t="str">
        <f>A147</f>
        <v>經濟部水利署第十河川局</v>
      </c>
      <c r="B177" s="1659"/>
      <c r="C177" s="1659"/>
      <c r="D177" s="1659"/>
      <c r="E177" s="1659"/>
      <c r="F177" s="1659"/>
    </row>
    <row r="178" spans="1:6" s="469" customFormat="1" ht="24.75" customHeight="1">
      <c r="A178" s="1659" t="s">
        <v>307</v>
      </c>
      <c r="B178" s="1659"/>
      <c r="C178" s="1659"/>
      <c r="D178" s="1659"/>
      <c r="E178" s="1659"/>
      <c r="F178" s="1659"/>
    </row>
    <row r="179" spans="1:6" s="469" customFormat="1" ht="24.75" customHeight="1">
      <c r="A179" s="1658" t="str">
        <f>A149</f>
        <v>工程名稱:基隆河整體治理計劃（前期計劃）瑞芳區塊介壽橋下游左右岸護岸工程</v>
      </c>
      <c r="B179" s="1658"/>
      <c r="C179" s="1658"/>
      <c r="D179" s="1658"/>
      <c r="E179" s="1658"/>
      <c r="F179" s="1658"/>
    </row>
    <row r="180" spans="1:6" s="469" customFormat="1" ht="24.75" customHeight="1" thickBot="1">
      <c r="A180" s="1660" t="str">
        <f>A150</f>
        <v>施工地點：台北縣瑞芳鎮</v>
      </c>
      <c r="B180" s="1660"/>
      <c r="C180" s="1660"/>
      <c r="D180" s="501"/>
      <c r="E180" s="1661" t="s">
        <v>1407</v>
      </c>
      <c r="F180" s="1661"/>
    </row>
    <row r="181" spans="1:6" s="469" customFormat="1" ht="24" customHeight="1">
      <c r="A181" s="497" t="s">
        <v>478</v>
      </c>
      <c r="B181" s="498" t="s">
        <v>442</v>
      </c>
      <c r="C181" s="498" t="s">
        <v>439</v>
      </c>
      <c r="D181" s="498" t="s">
        <v>479</v>
      </c>
      <c r="E181" s="499" t="s">
        <v>440</v>
      </c>
      <c r="F181" s="500" t="s">
        <v>423</v>
      </c>
    </row>
    <row r="182" spans="1:6" s="469" customFormat="1" ht="24.75" customHeight="1">
      <c r="A182" s="502">
        <v>32</v>
      </c>
      <c r="B182" s="402" t="str">
        <f>'第一號明細表'!A46</f>
        <v>瀝青混凝土面層</v>
      </c>
      <c r="C182" s="279" t="str">
        <f>'第一號明細表'!C46</f>
        <v>m2</v>
      </c>
      <c r="D182" s="1355" t="s">
        <v>39</v>
      </c>
      <c r="E182" s="242">
        <v>3887</v>
      </c>
      <c r="F182" s="1226" t="s">
        <v>100</v>
      </c>
    </row>
    <row r="183" spans="1:6" s="469" customFormat="1" ht="24.75" customHeight="1">
      <c r="A183" s="502"/>
      <c r="B183" s="402"/>
      <c r="C183" s="279"/>
      <c r="D183" s="1355" t="s">
        <v>101</v>
      </c>
      <c r="E183" s="242"/>
      <c r="F183" s="1226" t="s">
        <v>1309</v>
      </c>
    </row>
    <row r="184" spans="1:6" s="469" customFormat="1" ht="24.75" customHeight="1">
      <c r="A184" s="502"/>
      <c r="B184" s="402"/>
      <c r="C184" s="279"/>
      <c r="D184" s="1355"/>
      <c r="E184" s="242"/>
      <c r="F184" s="1226"/>
    </row>
    <row r="185" spans="1:6" s="469" customFormat="1" ht="24.75" customHeight="1">
      <c r="A185" s="502">
        <v>33</v>
      </c>
      <c r="B185" s="402" t="str">
        <f>'第一號明細表'!A47</f>
        <v>預鑄緣石</v>
      </c>
      <c r="C185" s="279" t="str">
        <f>'第一號明細表'!C47</f>
        <v>m</v>
      </c>
      <c r="D185" s="1355" t="s">
        <v>60</v>
      </c>
      <c r="E185" s="242">
        <v>408</v>
      </c>
      <c r="F185" s="1226" t="s">
        <v>1310</v>
      </c>
    </row>
    <row r="186" spans="1:6" s="469" customFormat="1" ht="24.75" customHeight="1">
      <c r="A186" s="502"/>
      <c r="B186" s="402"/>
      <c r="C186" s="279"/>
      <c r="D186" s="1355"/>
      <c r="E186" s="242"/>
      <c r="F186" s="1226"/>
    </row>
    <row r="187" spans="1:6" s="469" customFormat="1" ht="24.75" customHeight="1">
      <c r="A187" s="502">
        <v>34</v>
      </c>
      <c r="B187" s="402" t="str">
        <f>'第一號明細表'!A48</f>
        <v>仿木欄杆</v>
      </c>
      <c r="C187" s="279" t="str">
        <f>'第一號明細表'!C48</f>
        <v>組</v>
      </c>
      <c r="D187" s="1355" t="s">
        <v>60</v>
      </c>
      <c r="E187" s="242">
        <v>433</v>
      </c>
      <c r="F187" s="1226" t="s">
        <v>1310</v>
      </c>
    </row>
    <row r="188" spans="1:6" s="469" customFormat="1" ht="24.75" customHeight="1">
      <c r="A188" s="502"/>
      <c r="B188" s="402"/>
      <c r="C188" s="279"/>
      <c r="D188" s="1355">
        <v>24.3</v>
      </c>
      <c r="E188" s="242"/>
      <c r="F188" s="1226" t="s">
        <v>312</v>
      </c>
    </row>
    <row r="189" spans="1:6" s="469" customFormat="1" ht="24.75" customHeight="1">
      <c r="A189" s="502"/>
      <c r="B189" s="402"/>
      <c r="C189" s="279"/>
      <c r="D189" s="1355"/>
      <c r="E189" s="242"/>
      <c r="F189" s="1226"/>
    </row>
    <row r="190" spans="1:6" s="470" customFormat="1" ht="24.75" customHeight="1">
      <c r="A190" s="502">
        <v>35</v>
      </c>
      <c r="B190" s="402" t="str">
        <f>'第一號明細表'!A49</f>
        <v>仿竹欄杆</v>
      </c>
      <c r="C190" s="279" t="str">
        <f>'第一號明細表'!C49</f>
        <v>組</v>
      </c>
      <c r="D190" s="1355" t="s">
        <v>102</v>
      </c>
      <c r="E190" s="242">
        <v>780</v>
      </c>
      <c r="F190" s="1226" t="s">
        <v>1315</v>
      </c>
    </row>
    <row r="191" spans="1:6" s="470" customFormat="1" ht="24.75" customHeight="1">
      <c r="A191" s="502"/>
      <c r="B191" s="402"/>
      <c r="C191" s="279"/>
      <c r="D191" s="1355" t="s">
        <v>67</v>
      </c>
      <c r="E191" s="242"/>
      <c r="F191" s="1226" t="s">
        <v>68</v>
      </c>
    </row>
    <row r="192" spans="1:6" s="470" customFormat="1" ht="24.75" customHeight="1">
      <c r="A192" s="502"/>
      <c r="B192" s="402"/>
      <c r="C192" s="279"/>
      <c r="D192" s="1355"/>
      <c r="E192" s="242"/>
      <c r="F192" s="1226"/>
    </row>
    <row r="193" spans="1:6" s="470" customFormat="1" ht="24.75" customHeight="1">
      <c r="A193" s="502">
        <v>36</v>
      </c>
      <c r="B193" s="402" t="str">
        <f>'第一號明細表'!A50</f>
        <v>工程告示牌</v>
      </c>
      <c r="C193" s="279" t="str">
        <f>'第一號明細表'!C50</f>
        <v>面</v>
      </c>
      <c r="D193" s="1355"/>
      <c r="E193" s="242">
        <v>2</v>
      </c>
      <c r="F193" s="1226"/>
    </row>
    <row r="194" spans="1:6" s="470" customFormat="1" ht="24.75" customHeight="1">
      <c r="A194" s="502"/>
      <c r="B194" s="402"/>
      <c r="C194" s="279"/>
      <c r="D194" s="1355"/>
      <c r="E194" s="242"/>
      <c r="F194" s="1226"/>
    </row>
    <row r="195" spans="1:6" s="470" customFormat="1" ht="24.75" customHeight="1">
      <c r="A195" s="502">
        <v>37</v>
      </c>
      <c r="B195" s="402" t="str">
        <f>'第一號明細表'!A51</f>
        <v>完工告示牌（B式）</v>
      </c>
      <c r="C195" s="279" t="str">
        <f>'第一號明細表'!C51</f>
        <v>面</v>
      </c>
      <c r="D195" s="1355"/>
      <c r="E195" s="242">
        <v>1</v>
      </c>
      <c r="F195" s="1226"/>
    </row>
    <row r="196" spans="1:6" s="470" customFormat="1" ht="24.75" customHeight="1">
      <c r="A196" s="502"/>
      <c r="B196" s="402"/>
      <c r="C196" s="279"/>
      <c r="D196" s="1355"/>
      <c r="E196" s="242"/>
      <c r="F196" s="1226"/>
    </row>
    <row r="197" spans="1:6" s="470" customFormat="1" ht="24.75" customHeight="1">
      <c r="A197" s="502">
        <v>38</v>
      </c>
      <c r="B197" s="402" t="str">
        <f>'第一號明細表'!A52</f>
        <v>警告標示牌（F式）</v>
      </c>
      <c r="C197" s="279" t="str">
        <f>'第一號明細表'!C52</f>
        <v>面</v>
      </c>
      <c r="D197" s="1355"/>
      <c r="E197" s="242">
        <v>3</v>
      </c>
      <c r="F197" s="1226"/>
    </row>
    <row r="198" spans="1:6" s="470" customFormat="1" ht="24.75" customHeight="1">
      <c r="A198" s="502"/>
      <c r="B198" s="402"/>
      <c r="C198" s="279"/>
      <c r="D198" s="1355"/>
      <c r="E198" s="242"/>
      <c r="F198" s="1226"/>
    </row>
    <row r="199" spans="1:6" ht="24.75" customHeight="1">
      <c r="A199" s="502">
        <v>39</v>
      </c>
      <c r="B199" s="402" t="str">
        <f>'第一號明細表'!A53</f>
        <v>HDPE透水管,50mm∮</v>
      </c>
      <c r="C199" s="279" t="str">
        <f>'第一號明細表'!C53</f>
        <v>支</v>
      </c>
      <c r="D199" s="1355" t="s">
        <v>103</v>
      </c>
      <c r="E199" s="242">
        <v>124</v>
      </c>
      <c r="F199" s="1226" t="s">
        <v>1188</v>
      </c>
    </row>
    <row r="200" spans="1:6" ht="24.75" customHeight="1">
      <c r="A200" s="502"/>
      <c r="B200" s="402"/>
      <c r="C200" s="279"/>
      <c r="D200" s="1355"/>
      <c r="E200" s="242"/>
      <c r="F200" s="1226"/>
    </row>
    <row r="201" spans="1:6" ht="24.75" customHeight="1">
      <c r="A201" s="502">
        <v>40</v>
      </c>
      <c r="B201" s="402" t="str">
        <f>'第一號明細表'!A54</f>
        <v>∮22mm不鏽鋼踏步</v>
      </c>
      <c r="C201" s="279" t="str">
        <f>'第一號明細表'!C54</f>
        <v>支</v>
      </c>
      <c r="D201" s="1355" t="s">
        <v>104</v>
      </c>
      <c r="E201" s="242">
        <v>66</v>
      </c>
      <c r="F201" s="1294" t="s">
        <v>1330</v>
      </c>
    </row>
    <row r="202" spans="1:6" ht="24.75" customHeight="1">
      <c r="A202" s="502"/>
      <c r="B202" s="402"/>
      <c r="C202" s="279"/>
      <c r="D202" s="1355"/>
      <c r="E202" s="242"/>
      <c r="F202" s="1294"/>
    </row>
    <row r="203" spans="1:6" ht="24.75" customHeight="1" thickBot="1">
      <c r="A203" s="863">
        <v>41</v>
      </c>
      <c r="B203" s="1216" t="str">
        <f>'第一號明細表'!A55</f>
        <v>∮800mm混凝土管埋設 </v>
      </c>
      <c r="C203" s="734" t="str">
        <f>'第一號明細表'!C55</f>
        <v>m</v>
      </c>
      <c r="D203" s="513" t="s">
        <v>105</v>
      </c>
      <c r="E203" s="735">
        <v>13</v>
      </c>
      <c r="F203" s="865" t="s">
        <v>1331</v>
      </c>
    </row>
    <row r="204" spans="1:256" s="469" customFormat="1" ht="24" customHeight="1">
      <c r="A204" s="844"/>
      <c r="B204" s="845"/>
      <c r="C204" s="846"/>
      <c r="D204" s="847"/>
      <c r="E204" s="848"/>
      <c r="F204" s="849"/>
      <c r="G204" s="850"/>
      <c r="H204" s="851"/>
      <c r="I204" s="844"/>
      <c r="J204" s="845"/>
      <c r="K204" s="846"/>
      <c r="L204" s="847"/>
      <c r="M204" s="848"/>
      <c r="N204" s="849"/>
      <c r="O204" s="850"/>
      <c r="P204" s="851"/>
      <c r="Q204" s="844"/>
      <c r="R204" s="845"/>
      <c r="S204" s="846"/>
      <c r="T204" s="847"/>
      <c r="U204" s="848"/>
      <c r="V204" s="849"/>
      <c r="W204" s="850"/>
      <c r="X204" s="851"/>
      <c r="Y204" s="844"/>
      <c r="Z204" s="845"/>
      <c r="AA204" s="846"/>
      <c r="AB204" s="847"/>
      <c r="AC204" s="848"/>
      <c r="AD204" s="849"/>
      <c r="AE204" s="850"/>
      <c r="AF204" s="851"/>
      <c r="AG204" s="844"/>
      <c r="AH204" s="845"/>
      <c r="AI204" s="846"/>
      <c r="AJ204" s="847"/>
      <c r="AK204" s="848"/>
      <c r="AL204" s="849"/>
      <c r="AM204" s="850"/>
      <c r="AN204" s="851"/>
      <c r="AO204" s="844"/>
      <c r="AP204" s="845"/>
      <c r="AQ204" s="846"/>
      <c r="AR204" s="847"/>
      <c r="AS204" s="848"/>
      <c r="AT204" s="849"/>
      <c r="AU204" s="850"/>
      <c r="AV204" s="851"/>
      <c r="AW204" s="844"/>
      <c r="AX204" s="845"/>
      <c r="AY204" s="846"/>
      <c r="AZ204" s="847"/>
      <c r="BA204" s="848"/>
      <c r="BB204" s="849"/>
      <c r="BC204" s="850"/>
      <c r="BD204" s="851"/>
      <c r="BE204" s="844"/>
      <c r="BF204" s="845"/>
      <c r="BG204" s="846"/>
      <c r="BH204" s="847"/>
      <c r="BI204" s="848"/>
      <c r="BJ204" s="849"/>
      <c r="BK204" s="850"/>
      <c r="BL204" s="851"/>
      <c r="BM204" s="844"/>
      <c r="BN204" s="845"/>
      <c r="BO204" s="846"/>
      <c r="BP204" s="847"/>
      <c r="BQ204" s="848"/>
      <c r="BR204" s="849"/>
      <c r="BS204" s="850"/>
      <c r="BT204" s="851"/>
      <c r="BU204" s="844"/>
      <c r="BV204" s="845"/>
      <c r="BW204" s="846"/>
      <c r="BX204" s="847"/>
      <c r="BY204" s="848"/>
      <c r="BZ204" s="849"/>
      <c r="CA204" s="850"/>
      <c r="CB204" s="851"/>
      <c r="CC204" s="844"/>
      <c r="CD204" s="845"/>
      <c r="CE204" s="846"/>
      <c r="CF204" s="847"/>
      <c r="CG204" s="848"/>
      <c r="CH204" s="849"/>
      <c r="CI204" s="850"/>
      <c r="CJ204" s="851"/>
      <c r="CK204" s="844"/>
      <c r="CL204" s="845"/>
      <c r="CM204" s="846"/>
      <c r="CN204" s="847"/>
      <c r="CO204" s="848"/>
      <c r="CP204" s="849"/>
      <c r="CQ204" s="850"/>
      <c r="CR204" s="851"/>
      <c r="CS204" s="844"/>
      <c r="CT204" s="845"/>
      <c r="CU204" s="846"/>
      <c r="CV204" s="847"/>
      <c r="CW204" s="848"/>
      <c r="CX204" s="849"/>
      <c r="CY204" s="850"/>
      <c r="CZ204" s="851"/>
      <c r="DA204" s="844"/>
      <c r="DB204" s="845"/>
      <c r="DC204" s="846"/>
      <c r="DD204" s="847"/>
      <c r="DE204" s="848"/>
      <c r="DF204" s="849"/>
      <c r="DG204" s="850"/>
      <c r="DH204" s="851"/>
      <c r="DI204" s="844"/>
      <c r="DJ204" s="845"/>
      <c r="DK204" s="846"/>
      <c r="DL204" s="847"/>
      <c r="DM204" s="848"/>
      <c r="DN204" s="849"/>
      <c r="DO204" s="850"/>
      <c r="DP204" s="851"/>
      <c r="DQ204" s="844"/>
      <c r="DR204" s="845"/>
      <c r="DS204" s="846"/>
      <c r="DT204" s="847"/>
      <c r="DU204" s="848"/>
      <c r="DV204" s="849"/>
      <c r="DW204" s="850"/>
      <c r="DX204" s="851"/>
      <c r="DY204" s="844"/>
      <c r="DZ204" s="845"/>
      <c r="EA204" s="846"/>
      <c r="EB204" s="847"/>
      <c r="EC204" s="848"/>
      <c r="ED204" s="849"/>
      <c r="EE204" s="850"/>
      <c r="EF204" s="851"/>
      <c r="EG204" s="844"/>
      <c r="EH204" s="845"/>
      <c r="EI204" s="846"/>
      <c r="EJ204" s="847"/>
      <c r="EK204" s="848"/>
      <c r="EL204" s="849"/>
      <c r="EM204" s="850"/>
      <c r="EN204" s="851"/>
      <c r="EO204" s="844"/>
      <c r="EP204" s="845"/>
      <c r="EQ204" s="846"/>
      <c r="ER204" s="847"/>
      <c r="ES204" s="848"/>
      <c r="ET204" s="849"/>
      <c r="EU204" s="850"/>
      <c r="EV204" s="851"/>
      <c r="EW204" s="844"/>
      <c r="EX204" s="845"/>
      <c r="EY204" s="846"/>
      <c r="EZ204" s="847"/>
      <c r="FA204" s="848"/>
      <c r="FB204" s="849"/>
      <c r="FC204" s="850"/>
      <c r="FD204" s="851"/>
      <c r="FE204" s="844"/>
      <c r="FF204" s="845"/>
      <c r="FG204" s="846"/>
      <c r="FH204" s="847"/>
      <c r="FI204" s="848"/>
      <c r="FJ204" s="849"/>
      <c r="FK204" s="850"/>
      <c r="FL204" s="851"/>
      <c r="FM204" s="844"/>
      <c r="FN204" s="845"/>
      <c r="FO204" s="846"/>
      <c r="FP204" s="847"/>
      <c r="FQ204" s="848"/>
      <c r="FR204" s="849"/>
      <c r="FS204" s="850"/>
      <c r="FT204" s="851"/>
      <c r="FU204" s="844"/>
      <c r="FV204" s="845"/>
      <c r="FW204" s="846"/>
      <c r="FX204" s="847"/>
      <c r="FY204" s="848"/>
      <c r="FZ204" s="849"/>
      <c r="GA204" s="850"/>
      <c r="GB204" s="851"/>
      <c r="GC204" s="844"/>
      <c r="GD204" s="845"/>
      <c r="GE204" s="846"/>
      <c r="GF204" s="847"/>
      <c r="GG204" s="848"/>
      <c r="GH204" s="849"/>
      <c r="GI204" s="850"/>
      <c r="GJ204" s="851"/>
      <c r="GK204" s="844"/>
      <c r="GL204" s="845"/>
      <c r="GM204" s="846"/>
      <c r="GN204" s="847"/>
      <c r="GO204" s="848"/>
      <c r="GP204" s="849"/>
      <c r="GQ204" s="850"/>
      <c r="GR204" s="851"/>
      <c r="GS204" s="844"/>
      <c r="GT204" s="845"/>
      <c r="GU204" s="846"/>
      <c r="GV204" s="847"/>
      <c r="GW204" s="848"/>
      <c r="GX204" s="849"/>
      <c r="GY204" s="850"/>
      <c r="GZ204" s="851"/>
      <c r="HA204" s="844"/>
      <c r="HB204" s="845"/>
      <c r="HC204" s="846"/>
      <c r="HD204" s="847"/>
      <c r="HE204" s="848"/>
      <c r="HF204" s="849"/>
      <c r="HG204" s="850"/>
      <c r="HH204" s="851"/>
      <c r="HI204" s="844"/>
      <c r="HJ204" s="845"/>
      <c r="HK204" s="846"/>
      <c r="HL204" s="847"/>
      <c r="HM204" s="848"/>
      <c r="HN204" s="849"/>
      <c r="HO204" s="850"/>
      <c r="HP204" s="851"/>
      <c r="HQ204" s="844"/>
      <c r="HR204" s="845"/>
      <c r="HS204" s="846"/>
      <c r="HT204" s="847"/>
      <c r="HU204" s="848"/>
      <c r="HV204" s="849"/>
      <c r="HW204" s="850"/>
      <c r="HX204" s="851"/>
      <c r="HY204" s="844"/>
      <c r="HZ204" s="845"/>
      <c r="IA204" s="846"/>
      <c r="IB204" s="847"/>
      <c r="IC204" s="848"/>
      <c r="ID204" s="849"/>
      <c r="IE204" s="850"/>
      <c r="IF204" s="851"/>
      <c r="IG204" s="844"/>
      <c r="IH204" s="845"/>
      <c r="II204" s="846"/>
      <c r="IJ204" s="847"/>
      <c r="IK204" s="848"/>
      <c r="IL204" s="849"/>
      <c r="IM204" s="850"/>
      <c r="IN204" s="851"/>
      <c r="IO204" s="844"/>
      <c r="IP204" s="845"/>
      <c r="IQ204" s="846"/>
      <c r="IR204" s="847"/>
      <c r="IS204" s="848"/>
      <c r="IT204" s="849"/>
      <c r="IU204" s="850"/>
      <c r="IV204" s="851"/>
    </row>
    <row r="205" spans="1:256" s="469" customFormat="1" ht="24" customHeight="1">
      <c r="A205" s="29" t="s">
        <v>457</v>
      </c>
      <c r="B205" s="29"/>
      <c r="C205" s="29"/>
      <c r="D205" s="29"/>
      <c r="E205" s="29" t="s">
        <v>458</v>
      </c>
      <c r="F205" s="29"/>
      <c r="G205" s="29"/>
      <c r="H205" s="29"/>
      <c r="I205" s="29" t="s">
        <v>457</v>
      </c>
      <c r="J205" s="29"/>
      <c r="K205" s="29"/>
      <c r="L205" s="29"/>
      <c r="M205" s="29" t="s">
        <v>458</v>
      </c>
      <c r="N205" s="29"/>
      <c r="O205" s="29"/>
      <c r="P205" s="29"/>
      <c r="Q205" s="29" t="s">
        <v>457</v>
      </c>
      <c r="R205" s="29"/>
      <c r="S205" s="29"/>
      <c r="T205" s="29"/>
      <c r="U205" s="29" t="s">
        <v>458</v>
      </c>
      <c r="V205" s="29"/>
      <c r="W205" s="29"/>
      <c r="X205" s="29"/>
      <c r="Y205" s="29" t="s">
        <v>457</v>
      </c>
      <c r="Z205" s="29"/>
      <c r="AA205" s="29"/>
      <c r="AB205" s="29"/>
      <c r="AC205" s="29" t="s">
        <v>458</v>
      </c>
      <c r="AD205" s="29"/>
      <c r="AE205" s="29"/>
      <c r="AF205" s="29"/>
      <c r="AG205" s="29" t="s">
        <v>457</v>
      </c>
      <c r="AH205" s="29"/>
      <c r="AI205" s="29"/>
      <c r="AJ205" s="29"/>
      <c r="AK205" s="29" t="s">
        <v>458</v>
      </c>
      <c r="AL205" s="29"/>
      <c r="AM205" s="29"/>
      <c r="AN205" s="29"/>
      <c r="AO205" s="29" t="s">
        <v>457</v>
      </c>
      <c r="AP205" s="29"/>
      <c r="AQ205" s="29"/>
      <c r="AR205" s="29"/>
      <c r="AS205" s="29" t="s">
        <v>458</v>
      </c>
      <c r="AT205" s="29"/>
      <c r="AU205" s="29"/>
      <c r="AV205" s="29"/>
      <c r="AW205" s="29" t="s">
        <v>457</v>
      </c>
      <c r="AX205" s="29"/>
      <c r="AY205" s="29"/>
      <c r="AZ205" s="29"/>
      <c r="BA205" s="29" t="s">
        <v>458</v>
      </c>
      <c r="BB205" s="29"/>
      <c r="BC205" s="29"/>
      <c r="BD205" s="29"/>
      <c r="BE205" s="29" t="s">
        <v>457</v>
      </c>
      <c r="BF205" s="29"/>
      <c r="BG205" s="29"/>
      <c r="BH205" s="29"/>
      <c r="BI205" s="29" t="s">
        <v>458</v>
      </c>
      <c r="BJ205" s="29"/>
      <c r="BK205" s="29"/>
      <c r="BL205" s="29"/>
      <c r="BM205" s="29" t="s">
        <v>457</v>
      </c>
      <c r="BN205" s="29"/>
      <c r="BO205" s="29"/>
      <c r="BP205" s="29"/>
      <c r="BQ205" s="29" t="s">
        <v>458</v>
      </c>
      <c r="BR205" s="29"/>
      <c r="BS205" s="29"/>
      <c r="BT205" s="29"/>
      <c r="BU205" s="29" t="s">
        <v>457</v>
      </c>
      <c r="BV205" s="29"/>
      <c r="BW205" s="29"/>
      <c r="BX205" s="29"/>
      <c r="BY205" s="29" t="s">
        <v>458</v>
      </c>
      <c r="BZ205" s="29"/>
      <c r="CA205" s="29"/>
      <c r="CB205" s="29"/>
      <c r="CC205" s="29" t="s">
        <v>457</v>
      </c>
      <c r="CD205" s="29"/>
      <c r="CE205" s="29"/>
      <c r="CF205" s="29"/>
      <c r="CG205" s="29" t="s">
        <v>458</v>
      </c>
      <c r="CH205" s="29"/>
      <c r="CI205" s="29"/>
      <c r="CJ205" s="29"/>
      <c r="CK205" s="29" t="s">
        <v>457</v>
      </c>
      <c r="CL205" s="29"/>
      <c r="CM205" s="29"/>
      <c r="CN205" s="29"/>
      <c r="CO205" s="29" t="s">
        <v>458</v>
      </c>
      <c r="CP205" s="29"/>
      <c r="CQ205" s="29"/>
      <c r="CR205" s="29"/>
      <c r="CS205" s="29" t="s">
        <v>457</v>
      </c>
      <c r="CT205" s="29"/>
      <c r="CU205" s="29"/>
      <c r="CV205" s="29"/>
      <c r="CW205" s="29" t="s">
        <v>458</v>
      </c>
      <c r="CX205" s="29"/>
      <c r="CY205" s="29"/>
      <c r="CZ205" s="29"/>
      <c r="DA205" s="29" t="s">
        <v>457</v>
      </c>
      <c r="DB205" s="29"/>
      <c r="DC205" s="29"/>
      <c r="DD205" s="29"/>
      <c r="DE205" s="29" t="s">
        <v>458</v>
      </c>
      <c r="DF205" s="29"/>
      <c r="DG205" s="29"/>
      <c r="DH205" s="29"/>
      <c r="DI205" s="29" t="s">
        <v>457</v>
      </c>
      <c r="DJ205" s="29"/>
      <c r="DK205" s="29"/>
      <c r="DL205" s="29"/>
      <c r="DM205" s="29" t="s">
        <v>458</v>
      </c>
      <c r="DN205" s="29"/>
      <c r="DO205" s="29"/>
      <c r="DP205" s="29"/>
      <c r="DQ205" s="29" t="s">
        <v>457</v>
      </c>
      <c r="DR205" s="29"/>
      <c r="DS205" s="29"/>
      <c r="DT205" s="29"/>
      <c r="DU205" s="29" t="s">
        <v>458</v>
      </c>
      <c r="DV205" s="29"/>
      <c r="DW205" s="29"/>
      <c r="DX205" s="29"/>
      <c r="DY205" s="29" t="s">
        <v>457</v>
      </c>
      <c r="DZ205" s="29"/>
      <c r="EA205" s="29"/>
      <c r="EB205" s="29"/>
      <c r="EC205" s="29" t="s">
        <v>458</v>
      </c>
      <c r="ED205" s="29"/>
      <c r="EE205" s="29"/>
      <c r="EF205" s="29"/>
      <c r="EG205" s="29" t="s">
        <v>457</v>
      </c>
      <c r="EH205" s="29"/>
      <c r="EI205" s="29"/>
      <c r="EJ205" s="29"/>
      <c r="EK205" s="29" t="s">
        <v>458</v>
      </c>
      <c r="EL205" s="29"/>
      <c r="EM205" s="29"/>
      <c r="EN205" s="29"/>
      <c r="EO205" s="29" t="s">
        <v>457</v>
      </c>
      <c r="EP205" s="29"/>
      <c r="EQ205" s="29"/>
      <c r="ER205" s="29"/>
      <c r="ES205" s="29" t="s">
        <v>458</v>
      </c>
      <c r="ET205" s="29"/>
      <c r="EU205" s="29"/>
      <c r="EV205" s="29"/>
      <c r="EW205" s="29" t="s">
        <v>457</v>
      </c>
      <c r="EX205" s="29"/>
      <c r="EY205" s="29"/>
      <c r="EZ205" s="29"/>
      <c r="FA205" s="29" t="s">
        <v>458</v>
      </c>
      <c r="FB205" s="29"/>
      <c r="FC205" s="29"/>
      <c r="FD205" s="29"/>
      <c r="FE205" s="29" t="s">
        <v>457</v>
      </c>
      <c r="FF205" s="29"/>
      <c r="FG205" s="29"/>
      <c r="FH205" s="29"/>
      <c r="FI205" s="29" t="s">
        <v>458</v>
      </c>
      <c r="FJ205" s="29"/>
      <c r="FK205" s="29"/>
      <c r="FL205" s="29"/>
      <c r="FM205" s="29" t="s">
        <v>457</v>
      </c>
      <c r="FN205" s="29"/>
      <c r="FO205" s="29"/>
      <c r="FP205" s="29"/>
      <c r="FQ205" s="29" t="s">
        <v>458</v>
      </c>
      <c r="FR205" s="29"/>
      <c r="FS205" s="29"/>
      <c r="FT205" s="29"/>
      <c r="FU205" s="29" t="s">
        <v>457</v>
      </c>
      <c r="FV205" s="29"/>
      <c r="FW205" s="29"/>
      <c r="FX205" s="29"/>
      <c r="FY205" s="29" t="s">
        <v>458</v>
      </c>
      <c r="FZ205" s="29"/>
      <c r="GA205" s="29"/>
      <c r="GB205" s="29"/>
      <c r="GC205" s="29" t="s">
        <v>457</v>
      </c>
      <c r="GD205" s="29"/>
      <c r="GE205" s="29"/>
      <c r="GF205" s="29"/>
      <c r="GG205" s="29" t="s">
        <v>458</v>
      </c>
      <c r="GH205" s="29"/>
      <c r="GI205" s="29"/>
      <c r="GJ205" s="29"/>
      <c r="GK205" s="29" t="s">
        <v>457</v>
      </c>
      <c r="GL205" s="29"/>
      <c r="GM205" s="29"/>
      <c r="GN205" s="29"/>
      <c r="GO205" s="29" t="s">
        <v>458</v>
      </c>
      <c r="GP205" s="29"/>
      <c r="GQ205" s="29"/>
      <c r="GR205" s="29"/>
      <c r="GS205" s="29" t="s">
        <v>457</v>
      </c>
      <c r="GT205" s="29"/>
      <c r="GU205" s="29"/>
      <c r="GV205" s="29"/>
      <c r="GW205" s="29" t="s">
        <v>458</v>
      </c>
      <c r="GX205" s="29"/>
      <c r="GY205" s="29"/>
      <c r="GZ205" s="29"/>
      <c r="HA205" s="29" t="s">
        <v>457</v>
      </c>
      <c r="HB205" s="29"/>
      <c r="HC205" s="29"/>
      <c r="HD205" s="29"/>
      <c r="HE205" s="29" t="s">
        <v>458</v>
      </c>
      <c r="HF205" s="29"/>
      <c r="HG205" s="29"/>
      <c r="HH205" s="29"/>
      <c r="HI205" s="29" t="s">
        <v>457</v>
      </c>
      <c r="HJ205" s="29"/>
      <c r="HK205" s="29"/>
      <c r="HL205" s="29"/>
      <c r="HM205" s="29" t="s">
        <v>458</v>
      </c>
      <c r="HN205" s="29"/>
      <c r="HO205" s="29"/>
      <c r="HP205" s="29"/>
      <c r="HQ205" s="29" t="s">
        <v>457</v>
      </c>
      <c r="HR205" s="29"/>
      <c r="HS205" s="29"/>
      <c r="HT205" s="29"/>
      <c r="HU205" s="29" t="s">
        <v>458</v>
      </c>
      <c r="HV205" s="29"/>
      <c r="HW205" s="29"/>
      <c r="HX205" s="29"/>
      <c r="HY205" s="29" t="s">
        <v>457</v>
      </c>
      <c r="HZ205" s="29"/>
      <c r="IA205" s="29"/>
      <c r="IB205" s="29"/>
      <c r="IC205" s="29" t="s">
        <v>458</v>
      </c>
      <c r="ID205" s="29"/>
      <c r="IE205" s="29"/>
      <c r="IF205" s="29"/>
      <c r="IG205" s="29" t="s">
        <v>457</v>
      </c>
      <c r="IH205" s="29"/>
      <c r="II205" s="29"/>
      <c r="IJ205" s="29"/>
      <c r="IK205" s="29" t="s">
        <v>458</v>
      </c>
      <c r="IL205" s="29"/>
      <c r="IM205" s="29"/>
      <c r="IN205" s="29"/>
      <c r="IO205" s="29" t="s">
        <v>457</v>
      </c>
      <c r="IP205" s="29"/>
      <c r="IQ205" s="29"/>
      <c r="IR205" s="29"/>
      <c r="IS205" s="29" t="s">
        <v>458</v>
      </c>
      <c r="IT205" s="29"/>
      <c r="IU205" s="29"/>
      <c r="IV205" s="29"/>
    </row>
    <row r="206" spans="1:6" s="469" customFormat="1" ht="24.75" customHeight="1">
      <c r="A206" s="1659" t="str">
        <f>A177</f>
        <v>經濟部水利署第十河川局</v>
      </c>
      <c r="B206" s="1659"/>
      <c r="C206" s="1659"/>
      <c r="D206" s="1659"/>
      <c r="E206" s="1659"/>
      <c r="F206" s="1659"/>
    </row>
    <row r="207" spans="1:6" s="469" customFormat="1" ht="24.75" customHeight="1">
      <c r="A207" s="1659" t="s">
        <v>307</v>
      </c>
      <c r="B207" s="1659"/>
      <c r="C207" s="1659"/>
      <c r="D207" s="1659"/>
      <c r="E207" s="1659"/>
      <c r="F207" s="1659"/>
    </row>
    <row r="208" spans="1:6" s="469" customFormat="1" ht="24.75" customHeight="1">
      <c r="A208" s="1658" t="str">
        <f>A179</f>
        <v>工程名稱:基隆河整體治理計劃（前期計劃）瑞芳區塊介壽橋下游左右岸護岸工程</v>
      </c>
      <c r="B208" s="1658"/>
      <c r="C208" s="1658"/>
      <c r="D208" s="1658"/>
      <c r="E208" s="1658"/>
      <c r="F208" s="1658"/>
    </row>
    <row r="209" spans="1:6" s="469" customFormat="1" ht="24.75" customHeight="1" thickBot="1">
      <c r="A209" s="1660" t="str">
        <f>A180</f>
        <v>施工地點：台北縣瑞芳鎮</v>
      </c>
      <c r="B209" s="1660"/>
      <c r="C209" s="1660"/>
      <c r="D209" s="501"/>
      <c r="E209" s="1661" t="s">
        <v>1408</v>
      </c>
      <c r="F209" s="1661"/>
    </row>
    <row r="210" spans="1:6" s="469" customFormat="1" ht="24" customHeight="1">
      <c r="A210" s="497" t="s">
        <v>478</v>
      </c>
      <c r="B210" s="498" t="s">
        <v>442</v>
      </c>
      <c r="C210" s="498" t="s">
        <v>439</v>
      </c>
      <c r="D210" s="498" t="s">
        <v>479</v>
      </c>
      <c r="E210" s="499" t="s">
        <v>440</v>
      </c>
      <c r="F210" s="500" t="s">
        <v>423</v>
      </c>
    </row>
    <row r="211" spans="1:6" ht="24.75" customHeight="1">
      <c r="A211" s="502">
        <v>42</v>
      </c>
      <c r="B211" s="402" t="str">
        <f>'第一號明細表'!A64</f>
        <v>漿砌塊石φ平均20CM</v>
      </c>
      <c r="C211" s="279" t="str">
        <f>'第一號明細表'!C64</f>
        <v>m</v>
      </c>
      <c r="D211" s="1355" t="s">
        <v>106</v>
      </c>
      <c r="E211" s="242">
        <v>55</v>
      </c>
      <c r="F211" s="471" t="s">
        <v>107</v>
      </c>
    </row>
    <row r="212" spans="1:6" ht="24.75" customHeight="1">
      <c r="A212" s="502"/>
      <c r="B212" s="402"/>
      <c r="C212" s="279"/>
      <c r="D212" s="1355"/>
      <c r="E212" s="242"/>
      <c r="F212" s="471"/>
    </row>
    <row r="213" spans="1:6" ht="24.75" customHeight="1">
      <c r="A213" s="502">
        <v>43</v>
      </c>
      <c r="B213" s="402" t="str">
        <f>'第一號明細表'!A65</f>
        <v>鑄鐵止滑條</v>
      </c>
      <c r="C213" s="279" t="str">
        <f>'第一號明細表'!C65</f>
        <v>M</v>
      </c>
      <c r="D213" s="1355" t="s">
        <v>1333</v>
      </c>
      <c r="E213" s="242">
        <v>61</v>
      </c>
      <c r="F213" s="471" t="s">
        <v>1332</v>
      </c>
    </row>
    <row r="214" spans="1:6" ht="24.75" customHeight="1">
      <c r="A214" s="502"/>
      <c r="B214" s="402"/>
      <c r="C214" s="279"/>
      <c r="D214" s="1355"/>
      <c r="E214" s="242"/>
      <c r="F214" s="471"/>
    </row>
    <row r="215" spans="1:6" ht="24.75" customHeight="1">
      <c r="A215" s="502">
        <v>44</v>
      </c>
      <c r="B215" s="402" t="str">
        <f>'第一號明細表'!A66</f>
        <v>箱涵伸縮縫</v>
      </c>
      <c r="C215" s="279" t="str">
        <f>'第一號明細表'!C66</f>
        <v>處</v>
      </c>
      <c r="D215" s="1355" t="s">
        <v>1334</v>
      </c>
      <c r="E215" s="242">
        <v>30</v>
      </c>
      <c r="F215" s="1226" t="s">
        <v>1316</v>
      </c>
    </row>
    <row r="216" spans="1:6" ht="24.75" customHeight="1">
      <c r="A216" s="502"/>
      <c r="B216" s="402"/>
      <c r="C216" s="279"/>
      <c r="D216" s="1355"/>
      <c r="E216" s="242"/>
      <c r="F216" s="1226"/>
    </row>
    <row r="217" spans="1:6" ht="24.75" customHeight="1">
      <c r="A217" s="502">
        <v>45</v>
      </c>
      <c r="B217" s="402" t="str">
        <f>'第一號明細表'!A67</f>
        <v> U型側溝（1M×1M）伸縮縫</v>
      </c>
      <c r="C217" s="279" t="str">
        <f>'第一號明細表'!C67</f>
        <v>處</v>
      </c>
      <c r="D217" s="1355" t="s">
        <v>1335</v>
      </c>
      <c r="E217" s="242">
        <v>36</v>
      </c>
      <c r="F217" s="1226" t="s">
        <v>1313</v>
      </c>
    </row>
    <row r="218" spans="1:6" ht="24.75" customHeight="1">
      <c r="A218" s="502"/>
      <c r="B218" s="402"/>
      <c r="C218" s="279"/>
      <c r="D218" s="1355"/>
      <c r="E218" s="242"/>
      <c r="F218" s="1226"/>
    </row>
    <row r="219" spans="1:6" ht="24.75" customHeight="1">
      <c r="A219" s="502">
        <v>46</v>
      </c>
      <c r="B219" s="402" t="str">
        <f>'第一號明細表'!A68</f>
        <v> U型側溝（0.8M×1M）伸縮縫</v>
      </c>
      <c r="C219" s="279" t="str">
        <f>'第一號明細表'!C68</f>
        <v>處</v>
      </c>
      <c r="D219" s="1355" t="s">
        <v>1336</v>
      </c>
      <c r="E219" s="242">
        <v>22</v>
      </c>
      <c r="F219" s="1226" t="s">
        <v>1188</v>
      </c>
    </row>
    <row r="220" spans="1:6" ht="24.75" customHeight="1">
      <c r="A220" s="502"/>
      <c r="B220" s="402"/>
      <c r="C220" s="279"/>
      <c r="D220" s="1355"/>
      <c r="E220" s="242"/>
      <c r="F220" s="1226"/>
    </row>
    <row r="221" spans="1:6" ht="24.75" customHeight="1">
      <c r="A221" s="502">
        <v>47</v>
      </c>
      <c r="B221" s="402" t="str">
        <f>'單價分析表'!D951</f>
        <v>植生槽</v>
      </c>
      <c r="C221" s="279" t="str">
        <f>'單價分析表'!H951</f>
        <v>m</v>
      </c>
      <c r="D221" s="1355" t="s">
        <v>60</v>
      </c>
      <c r="E221" s="242">
        <v>408</v>
      </c>
      <c r="F221" s="1226"/>
    </row>
    <row r="222" spans="1:6" ht="24.75" customHeight="1">
      <c r="A222" s="502"/>
      <c r="B222" s="402"/>
      <c r="C222" s="279"/>
      <c r="D222" s="441"/>
      <c r="E222" s="242"/>
      <c r="F222" s="1226"/>
    </row>
    <row r="223" spans="1:6" ht="24.75" customHeight="1">
      <c r="A223" s="502">
        <v>48</v>
      </c>
      <c r="B223" s="402" t="str">
        <f>'單價分析表'!D963</f>
        <v>台灣巒樹</v>
      </c>
      <c r="C223" s="279" t="str">
        <f>'單價分析表'!H963</f>
        <v>株</v>
      </c>
      <c r="D223" s="441" t="s">
        <v>61</v>
      </c>
      <c r="E223" s="242">
        <v>166</v>
      </c>
      <c r="F223" s="1226"/>
    </row>
    <row r="224" spans="1:6" ht="24.75" customHeight="1">
      <c r="A224" s="502"/>
      <c r="B224" s="402"/>
      <c r="C224" s="279"/>
      <c r="D224" s="441"/>
      <c r="E224" s="242"/>
      <c r="F224" s="1226"/>
    </row>
    <row r="225" spans="1:6" ht="24.75" customHeight="1">
      <c r="A225" s="502">
        <v>49</v>
      </c>
      <c r="B225" s="402" t="str">
        <f>'單價分析表'!D982</f>
        <v>高壓彩色連鎖地磚</v>
      </c>
      <c r="C225" s="279" t="str">
        <f>'單價分析表'!H982</f>
        <v>M2</v>
      </c>
      <c r="D225" s="1355" t="s">
        <v>62</v>
      </c>
      <c r="E225" s="242">
        <v>408</v>
      </c>
      <c r="F225" s="1226"/>
    </row>
    <row r="226" spans="1:6" ht="24.75" customHeight="1">
      <c r="A226" s="502"/>
      <c r="B226" s="402"/>
      <c r="C226" s="279"/>
      <c r="D226" s="441"/>
      <c r="E226" s="242"/>
      <c r="F226" s="1226"/>
    </row>
    <row r="227" spans="1:6" ht="24.75" customHeight="1">
      <c r="A227" s="502"/>
      <c r="B227" s="402"/>
      <c r="C227" s="279"/>
      <c r="D227" s="441"/>
      <c r="E227" s="242"/>
      <c r="F227" s="1226"/>
    </row>
    <row r="228" spans="1:6" ht="24.75" customHeight="1">
      <c r="A228" s="502"/>
      <c r="B228" s="402"/>
      <c r="C228" s="279"/>
      <c r="D228" s="441"/>
      <c r="E228" s="242"/>
      <c r="F228" s="1226"/>
    </row>
    <row r="229" spans="1:6" ht="24.75" customHeight="1">
      <c r="A229" s="502"/>
      <c r="B229" s="402"/>
      <c r="C229" s="279"/>
      <c r="D229" s="441"/>
      <c r="E229" s="242"/>
      <c r="F229" s="1226"/>
    </row>
    <row r="230" spans="1:6" ht="24.75" customHeight="1">
      <c r="A230" s="502"/>
      <c r="B230" s="402"/>
      <c r="C230" s="279"/>
      <c r="D230" s="441"/>
      <c r="E230" s="242"/>
      <c r="F230" s="1226"/>
    </row>
    <row r="231" spans="1:6" ht="24.75" customHeight="1">
      <c r="A231" s="502"/>
      <c r="B231" s="402"/>
      <c r="C231" s="279"/>
      <c r="D231" s="441"/>
      <c r="E231" s="242"/>
      <c r="F231" s="1226"/>
    </row>
    <row r="232" spans="1:6" ht="24.75" customHeight="1" thickBot="1">
      <c r="A232" s="863"/>
      <c r="B232" s="1216"/>
      <c r="C232" s="734"/>
      <c r="D232" s="864"/>
      <c r="E232" s="735"/>
      <c r="F232" s="1302"/>
    </row>
    <row r="233" spans="1:256" s="469" customFormat="1" ht="24" customHeight="1">
      <c r="A233" s="844"/>
      <c r="B233" s="845"/>
      <c r="C233" s="846"/>
      <c r="D233" s="847"/>
      <c r="E233" s="848"/>
      <c r="F233" s="849"/>
      <c r="G233" s="850"/>
      <c r="H233" s="851"/>
      <c r="I233" s="844"/>
      <c r="J233" s="845"/>
      <c r="K233" s="846"/>
      <c r="L233" s="847"/>
      <c r="M233" s="848"/>
      <c r="N233" s="849"/>
      <c r="O233" s="850"/>
      <c r="P233" s="851"/>
      <c r="Q233" s="844"/>
      <c r="R233" s="845"/>
      <c r="S233" s="846"/>
      <c r="T233" s="847"/>
      <c r="U233" s="848"/>
      <c r="V233" s="849"/>
      <c r="W233" s="850"/>
      <c r="X233" s="851"/>
      <c r="Y233" s="844"/>
      <c r="Z233" s="845"/>
      <c r="AA233" s="846"/>
      <c r="AB233" s="847"/>
      <c r="AC233" s="848"/>
      <c r="AD233" s="849"/>
      <c r="AE233" s="850"/>
      <c r="AF233" s="851"/>
      <c r="AG233" s="844"/>
      <c r="AH233" s="845"/>
      <c r="AI233" s="846"/>
      <c r="AJ233" s="847"/>
      <c r="AK233" s="848"/>
      <c r="AL233" s="849"/>
      <c r="AM233" s="850"/>
      <c r="AN233" s="851"/>
      <c r="AO233" s="844"/>
      <c r="AP233" s="845"/>
      <c r="AQ233" s="846"/>
      <c r="AR233" s="847"/>
      <c r="AS233" s="848"/>
      <c r="AT233" s="849"/>
      <c r="AU233" s="850"/>
      <c r="AV233" s="851"/>
      <c r="AW233" s="844"/>
      <c r="AX233" s="845"/>
      <c r="AY233" s="846"/>
      <c r="AZ233" s="847"/>
      <c r="BA233" s="848"/>
      <c r="BB233" s="849"/>
      <c r="BC233" s="850"/>
      <c r="BD233" s="851"/>
      <c r="BE233" s="844"/>
      <c r="BF233" s="845"/>
      <c r="BG233" s="846"/>
      <c r="BH233" s="847"/>
      <c r="BI233" s="848"/>
      <c r="BJ233" s="849"/>
      <c r="BK233" s="850"/>
      <c r="BL233" s="851"/>
      <c r="BM233" s="844"/>
      <c r="BN233" s="845"/>
      <c r="BO233" s="846"/>
      <c r="BP233" s="847"/>
      <c r="BQ233" s="848"/>
      <c r="BR233" s="849"/>
      <c r="BS233" s="850"/>
      <c r="BT233" s="851"/>
      <c r="BU233" s="844"/>
      <c r="BV233" s="845"/>
      <c r="BW233" s="846"/>
      <c r="BX233" s="847"/>
      <c r="BY233" s="848"/>
      <c r="BZ233" s="849"/>
      <c r="CA233" s="850"/>
      <c r="CB233" s="851"/>
      <c r="CC233" s="844"/>
      <c r="CD233" s="845"/>
      <c r="CE233" s="846"/>
      <c r="CF233" s="847"/>
      <c r="CG233" s="848"/>
      <c r="CH233" s="849"/>
      <c r="CI233" s="850"/>
      <c r="CJ233" s="851"/>
      <c r="CK233" s="844"/>
      <c r="CL233" s="845"/>
      <c r="CM233" s="846"/>
      <c r="CN233" s="847"/>
      <c r="CO233" s="848"/>
      <c r="CP233" s="849"/>
      <c r="CQ233" s="850"/>
      <c r="CR233" s="851"/>
      <c r="CS233" s="844"/>
      <c r="CT233" s="845"/>
      <c r="CU233" s="846"/>
      <c r="CV233" s="847"/>
      <c r="CW233" s="848"/>
      <c r="CX233" s="849"/>
      <c r="CY233" s="850"/>
      <c r="CZ233" s="851"/>
      <c r="DA233" s="844"/>
      <c r="DB233" s="845"/>
      <c r="DC233" s="846"/>
      <c r="DD233" s="847"/>
      <c r="DE233" s="848"/>
      <c r="DF233" s="849"/>
      <c r="DG233" s="850"/>
      <c r="DH233" s="851"/>
      <c r="DI233" s="844"/>
      <c r="DJ233" s="845"/>
      <c r="DK233" s="846"/>
      <c r="DL233" s="847"/>
      <c r="DM233" s="848"/>
      <c r="DN233" s="849"/>
      <c r="DO233" s="850"/>
      <c r="DP233" s="851"/>
      <c r="DQ233" s="844"/>
      <c r="DR233" s="845"/>
      <c r="DS233" s="846"/>
      <c r="DT233" s="847"/>
      <c r="DU233" s="848"/>
      <c r="DV233" s="849"/>
      <c r="DW233" s="850"/>
      <c r="DX233" s="851"/>
      <c r="DY233" s="844"/>
      <c r="DZ233" s="845"/>
      <c r="EA233" s="846"/>
      <c r="EB233" s="847"/>
      <c r="EC233" s="848"/>
      <c r="ED233" s="849"/>
      <c r="EE233" s="850"/>
      <c r="EF233" s="851"/>
      <c r="EG233" s="844"/>
      <c r="EH233" s="845"/>
      <c r="EI233" s="846"/>
      <c r="EJ233" s="847"/>
      <c r="EK233" s="848"/>
      <c r="EL233" s="849"/>
      <c r="EM233" s="850"/>
      <c r="EN233" s="851"/>
      <c r="EO233" s="844"/>
      <c r="EP233" s="845"/>
      <c r="EQ233" s="846"/>
      <c r="ER233" s="847"/>
      <c r="ES233" s="848"/>
      <c r="ET233" s="849"/>
      <c r="EU233" s="850"/>
      <c r="EV233" s="851"/>
      <c r="EW233" s="844"/>
      <c r="EX233" s="845"/>
      <c r="EY233" s="846"/>
      <c r="EZ233" s="847"/>
      <c r="FA233" s="848"/>
      <c r="FB233" s="849"/>
      <c r="FC233" s="850"/>
      <c r="FD233" s="851"/>
      <c r="FE233" s="844"/>
      <c r="FF233" s="845"/>
      <c r="FG233" s="846"/>
      <c r="FH233" s="847"/>
      <c r="FI233" s="848"/>
      <c r="FJ233" s="849"/>
      <c r="FK233" s="850"/>
      <c r="FL233" s="851"/>
      <c r="FM233" s="844"/>
      <c r="FN233" s="845"/>
      <c r="FO233" s="846"/>
      <c r="FP233" s="847"/>
      <c r="FQ233" s="848"/>
      <c r="FR233" s="849"/>
      <c r="FS233" s="850"/>
      <c r="FT233" s="851"/>
      <c r="FU233" s="844"/>
      <c r="FV233" s="845"/>
      <c r="FW233" s="846"/>
      <c r="FX233" s="847"/>
      <c r="FY233" s="848"/>
      <c r="FZ233" s="849"/>
      <c r="GA233" s="850"/>
      <c r="GB233" s="851"/>
      <c r="GC233" s="844"/>
      <c r="GD233" s="845"/>
      <c r="GE233" s="846"/>
      <c r="GF233" s="847"/>
      <c r="GG233" s="848"/>
      <c r="GH233" s="849"/>
      <c r="GI233" s="850"/>
      <c r="GJ233" s="851"/>
      <c r="GK233" s="844"/>
      <c r="GL233" s="845"/>
      <c r="GM233" s="846"/>
      <c r="GN233" s="847"/>
      <c r="GO233" s="848"/>
      <c r="GP233" s="849"/>
      <c r="GQ233" s="850"/>
      <c r="GR233" s="851"/>
      <c r="GS233" s="844"/>
      <c r="GT233" s="845"/>
      <c r="GU233" s="846"/>
      <c r="GV233" s="847"/>
      <c r="GW233" s="848"/>
      <c r="GX233" s="849"/>
      <c r="GY233" s="850"/>
      <c r="GZ233" s="851"/>
      <c r="HA233" s="844"/>
      <c r="HB233" s="845"/>
      <c r="HC233" s="846"/>
      <c r="HD233" s="847"/>
      <c r="HE233" s="848"/>
      <c r="HF233" s="849"/>
      <c r="HG233" s="850"/>
      <c r="HH233" s="851"/>
      <c r="HI233" s="844"/>
      <c r="HJ233" s="845"/>
      <c r="HK233" s="846"/>
      <c r="HL233" s="847"/>
      <c r="HM233" s="848"/>
      <c r="HN233" s="849"/>
      <c r="HO233" s="850"/>
      <c r="HP233" s="851"/>
      <c r="HQ233" s="844"/>
      <c r="HR233" s="845"/>
      <c r="HS233" s="846"/>
      <c r="HT233" s="847"/>
      <c r="HU233" s="848"/>
      <c r="HV233" s="849"/>
      <c r="HW233" s="850"/>
      <c r="HX233" s="851"/>
      <c r="HY233" s="844"/>
      <c r="HZ233" s="845"/>
      <c r="IA233" s="846"/>
      <c r="IB233" s="847"/>
      <c r="IC233" s="848"/>
      <c r="ID233" s="849"/>
      <c r="IE233" s="850"/>
      <c r="IF233" s="851"/>
      <c r="IG233" s="844"/>
      <c r="IH233" s="845"/>
      <c r="II233" s="846"/>
      <c r="IJ233" s="847"/>
      <c r="IK233" s="848"/>
      <c r="IL233" s="849"/>
      <c r="IM233" s="850"/>
      <c r="IN233" s="851"/>
      <c r="IO233" s="844"/>
      <c r="IP233" s="845"/>
      <c r="IQ233" s="846"/>
      <c r="IR233" s="847"/>
      <c r="IS233" s="848"/>
      <c r="IT233" s="849"/>
      <c r="IU233" s="850"/>
      <c r="IV233" s="851"/>
    </row>
    <row r="234" spans="1:256" s="469" customFormat="1" ht="24" customHeight="1">
      <c r="A234" s="29" t="s">
        <v>457</v>
      </c>
      <c r="B234" s="29"/>
      <c r="C234" s="29"/>
      <c r="D234" s="29"/>
      <c r="E234" s="29" t="s">
        <v>458</v>
      </c>
      <c r="F234" s="29"/>
      <c r="G234" s="29"/>
      <c r="H234" s="29"/>
      <c r="I234" s="29" t="s">
        <v>457</v>
      </c>
      <c r="J234" s="29"/>
      <c r="K234" s="29"/>
      <c r="L234" s="29"/>
      <c r="M234" s="29" t="s">
        <v>458</v>
      </c>
      <c r="N234" s="29"/>
      <c r="O234" s="29"/>
      <c r="P234" s="29"/>
      <c r="Q234" s="29" t="s">
        <v>457</v>
      </c>
      <c r="R234" s="29"/>
      <c r="S234" s="29"/>
      <c r="T234" s="29"/>
      <c r="U234" s="29" t="s">
        <v>458</v>
      </c>
      <c r="V234" s="29"/>
      <c r="W234" s="29"/>
      <c r="X234" s="29"/>
      <c r="Y234" s="29" t="s">
        <v>457</v>
      </c>
      <c r="Z234" s="29"/>
      <c r="AA234" s="29"/>
      <c r="AB234" s="29"/>
      <c r="AC234" s="29" t="s">
        <v>458</v>
      </c>
      <c r="AD234" s="29"/>
      <c r="AE234" s="29"/>
      <c r="AF234" s="29"/>
      <c r="AG234" s="29" t="s">
        <v>457</v>
      </c>
      <c r="AH234" s="29"/>
      <c r="AI234" s="29"/>
      <c r="AJ234" s="29"/>
      <c r="AK234" s="29" t="s">
        <v>458</v>
      </c>
      <c r="AL234" s="29"/>
      <c r="AM234" s="29"/>
      <c r="AN234" s="29"/>
      <c r="AO234" s="29" t="s">
        <v>457</v>
      </c>
      <c r="AP234" s="29"/>
      <c r="AQ234" s="29"/>
      <c r="AR234" s="29"/>
      <c r="AS234" s="29" t="s">
        <v>458</v>
      </c>
      <c r="AT234" s="29"/>
      <c r="AU234" s="29"/>
      <c r="AV234" s="29"/>
      <c r="AW234" s="29" t="s">
        <v>457</v>
      </c>
      <c r="AX234" s="29"/>
      <c r="AY234" s="29"/>
      <c r="AZ234" s="29"/>
      <c r="BA234" s="29" t="s">
        <v>458</v>
      </c>
      <c r="BB234" s="29"/>
      <c r="BC234" s="29"/>
      <c r="BD234" s="29"/>
      <c r="BE234" s="29" t="s">
        <v>457</v>
      </c>
      <c r="BF234" s="29"/>
      <c r="BG234" s="29"/>
      <c r="BH234" s="29"/>
      <c r="BI234" s="29" t="s">
        <v>458</v>
      </c>
      <c r="BJ234" s="29"/>
      <c r="BK234" s="29"/>
      <c r="BL234" s="29"/>
      <c r="BM234" s="29" t="s">
        <v>457</v>
      </c>
      <c r="BN234" s="29"/>
      <c r="BO234" s="29"/>
      <c r="BP234" s="29"/>
      <c r="BQ234" s="29" t="s">
        <v>458</v>
      </c>
      <c r="BR234" s="29"/>
      <c r="BS234" s="29"/>
      <c r="BT234" s="29"/>
      <c r="BU234" s="29" t="s">
        <v>457</v>
      </c>
      <c r="BV234" s="29"/>
      <c r="BW234" s="29"/>
      <c r="BX234" s="29"/>
      <c r="BY234" s="29" t="s">
        <v>458</v>
      </c>
      <c r="BZ234" s="29"/>
      <c r="CA234" s="29"/>
      <c r="CB234" s="29"/>
      <c r="CC234" s="29" t="s">
        <v>457</v>
      </c>
      <c r="CD234" s="29"/>
      <c r="CE234" s="29"/>
      <c r="CF234" s="29"/>
      <c r="CG234" s="29" t="s">
        <v>458</v>
      </c>
      <c r="CH234" s="29"/>
      <c r="CI234" s="29"/>
      <c r="CJ234" s="29"/>
      <c r="CK234" s="29" t="s">
        <v>457</v>
      </c>
      <c r="CL234" s="29"/>
      <c r="CM234" s="29"/>
      <c r="CN234" s="29"/>
      <c r="CO234" s="29" t="s">
        <v>458</v>
      </c>
      <c r="CP234" s="29"/>
      <c r="CQ234" s="29"/>
      <c r="CR234" s="29"/>
      <c r="CS234" s="29" t="s">
        <v>457</v>
      </c>
      <c r="CT234" s="29"/>
      <c r="CU234" s="29"/>
      <c r="CV234" s="29"/>
      <c r="CW234" s="29" t="s">
        <v>458</v>
      </c>
      <c r="CX234" s="29"/>
      <c r="CY234" s="29"/>
      <c r="CZ234" s="29"/>
      <c r="DA234" s="29" t="s">
        <v>457</v>
      </c>
      <c r="DB234" s="29"/>
      <c r="DC234" s="29"/>
      <c r="DD234" s="29"/>
      <c r="DE234" s="29" t="s">
        <v>458</v>
      </c>
      <c r="DF234" s="29"/>
      <c r="DG234" s="29"/>
      <c r="DH234" s="29"/>
      <c r="DI234" s="29" t="s">
        <v>457</v>
      </c>
      <c r="DJ234" s="29"/>
      <c r="DK234" s="29"/>
      <c r="DL234" s="29"/>
      <c r="DM234" s="29" t="s">
        <v>458</v>
      </c>
      <c r="DN234" s="29"/>
      <c r="DO234" s="29"/>
      <c r="DP234" s="29"/>
      <c r="DQ234" s="29" t="s">
        <v>457</v>
      </c>
      <c r="DR234" s="29"/>
      <c r="DS234" s="29"/>
      <c r="DT234" s="29"/>
      <c r="DU234" s="29" t="s">
        <v>458</v>
      </c>
      <c r="DV234" s="29"/>
      <c r="DW234" s="29"/>
      <c r="DX234" s="29"/>
      <c r="DY234" s="29" t="s">
        <v>457</v>
      </c>
      <c r="DZ234" s="29"/>
      <c r="EA234" s="29"/>
      <c r="EB234" s="29"/>
      <c r="EC234" s="29" t="s">
        <v>458</v>
      </c>
      <c r="ED234" s="29"/>
      <c r="EE234" s="29"/>
      <c r="EF234" s="29"/>
      <c r="EG234" s="29" t="s">
        <v>457</v>
      </c>
      <c r="EH234" s="29"/>
      <c r="EI234" s="29"/>
      <c r="EJ234" s="29"/>
      <c r="EK234" s="29" t="s">
        <v>458</v>
      </c>
      <c r="EL234" s="29"/>
      <c r="EM234" s="29"/>
      <c r="EN234" s="29"/>
      <c r="EO234" s="29" t="s">
        <v>457</v>
      </c>
      <c r="EP234" s="29"/>
      <c r="EQ234" s="29"/>
      <c r="ER234" s="29"/>
      <c r="ES234" s="29" t="s">
        <v>458</v>
      </c>
      <c r="ET234" s="29"/>
      <c r="EU234" s="29"/>
      <c r="EV234" s="29"/>
      <c r="EW234" s="29" t="s">
        <v>457</v>
      </c>
      <c r="EX234" s="29"/>
      <c r="EY234" s="29"/>
      <c r="EZ234" s="29"/>
      <c r="FA234" s="29" t="s">
        <v>458</v>
      </c>
      <c r="FB234" s="29"/>
      <c r="FC234" s="29"/>
      <c r="FD234" s="29"/>
      <c r="FE234" s="29" t="s">
        <v>457</v>
      </c>
      <c r="FF234" s="29"/>
      <c r="FG234" s="29"/>
      <c r="FH234" s="29"/>
      <c r="FI234" s="29" t="s">
        <v>458</v>
      </c>
      <c r="FJ234" s="29"/>
      <c r="FK234" s="29"/>
      <c r="FL234" s="29"/>
      <c r="FM234" s="29" t="s">
        <v>457</v>
      </c>
      <c r="FN234" s="29"/>
      <c r="FO234" s="29"/>
      <c r="FP234" s="29"/>
      <c r="FQ234" s="29" t="s">
        <v>458</v>
      </c>
      <c r="FR234" s="29"/>
      <c r="FS234" s="29"/>
      <c r="FT234" s="29"/>
      <c r="FU234" s="29" t="s">
        <v>457</v>
      </c>
      <c r="FV234" s="29"/>
      <c r="FW234" s="29"/>
      <c r="FX234" s="29"/>
      <c r="FY234" s="29" t="s">
        <v>458</v>
      </c>
      <c r="FZ234" s="29"/>
      <c r="GA234" s="29"/>
      <c r="GB234" s="29"/>
      <c r="GC234" s="29" t="s">
        <v>457</v>
      </c>
      <c r="GD234" s="29"/>
      <c r="GE234" s="29"/>
      <c r="GF234" s="29"/>
      <c r="GG234" s="29" t="s">
        <v>458</v>
      </c>
      <c r="GH234" s="29"/>
      <c r="GI234" s="29"/>
      <c r="GJ234" s="29"/>
      <c r="GK234" s="29" t="s">
        <v>457</v>
      </c>
      <c r="GL234" s="29"/>
      <c r="GM234" s="29"/>
      <c r="GN234" s="29"/>
      <c r="GO234" s="29" t="s">
        <v>458</v>
      </c>
      <c r="GP234" s="29"/>
      <c r="GQ234" s="29"/>
      <c r="GR234" s="29"/>
      <c r="GS234" s="29" t="s">
        <v>457</v>
      </c>
      <c r="GT234" s="29"/>
      <c r="GU234" s="29"/>
      <c r="GV234" s="29"/>
      <c r="GW234" s="29" t="s">
        <v>458</v>
      </c>
      <c r="GX234" s="29"/>
      <c r="GY234" s="29"/>
      <c r="GZ234" s="29"/>
      <c r="HA234" s="29" t="s">
        <v>457</v>
      </c>
      <c r="HB234" s="29"/>
      <c r="HC234" s="29"/>
      <c r="HD234" s="29"/>
      <c r="HE234" s="29" t="s">
        <v>458</v>
      </c>
      <c r="HF234" s="29"/>
      <c r="HG234" s="29"/>
      <c r="HH234" s="29"/>
      <c r="HI234" s="29" t="s">
        <v>457</v>
      </c>
      <c r="HJ234" s="29"/>
      <c r="HK234" s="29"/>
      <c r="HL234" s="29"/>
      <c r="HM234" s="29" t="s">
        <v>458</v>
      </c>
      <c r="HN234" s="29"/>
      <c r="HO234" s="29"/>
      <c r="HP234" s="29"/>
      <c r="HQ234" s="29" t="s">
        <v>457</v>
      </c>
      <c r="HR234" s="29"/>
      <c r="HS234" s="29"/>
      <c r="HT234" s="29"/>
      <c r="HU234" s="29" t="s">
        <v>458</v>
      </c>
      <c r="HV234" s="29"/>
      <c r="HW234" s="29"/>
      <c r="HX234" s="29"/>
      <c r="HY234" s="29" t="s">
        <v>457</v>
      </c>
      <c r="HZ234" s="29"/>
      <c r="IA234" s="29"/>
      <c r="IB234" s="29"/>
      <c r="IC234" s="29" t="s">
        <v>458</v>
      </c>
      <c r="ID234" s="29"/>
      <c r="IE234" s="29"/>
      <c r="IF234" s="29"/>
      <c r="IG234" s="29" t="s">
        <v>457</v>
      </c>
      <c r="IH234" s="29"/>
      <c r="II234" s="29"/>
      <c r="IJ234" s="29"/>
      <c r="IK234" s="29" t="s">
        <v>458</v>
      </c>
      <c r="IL234" s="29"/>
      <c r="IM234" s="29"/>
      <c r="IN234" s="29"/>
      <c r="IO234" s="29" t="s">
        <v>457</v>
      </c>
      <c r="IP234" s="29"/>
      <c r="IQ234" s="29"/>
      <c r="IR234" s="29"/>
      <c r="IS234" s="29" t="s">
        <v>458</v>
      </c>
      <c r="IT234" s="29"/>
      <c r="IU234" s="29"/>
      <c r="IV234" s="29"/>
    </row>
    <row r="235" spans="1:6" s="469" customFormat="1" ht="24.75" customHeight="1">
      <c r="A235" s="1659" t="str">
        <f>A206</f>
        <v>經濟部水利署第十河川局</v>
      </c>
      <c r="B235" s="1659"/>
      <c r="C235" s="1659"/>
      <c r="D235" s="1659"/>
      <c r="E235" s="1659"/>
      <c r="F235" s="1659"/>
    </row>
    <row r="236" spans="1:6" s="469" customFormat="1" ht="24.75" customHeight="1">
      <c r="A236" s="1659" t="s">
        <v>308</v>
      </c>
      <c r="B236" s="1659"/>
      <c r="C236" s="1659"/>
      <c r="D236" s="1659"/>
      <c r="E236" s="1659"/>
      <c r="F236" s="1659"/>
    </row>
    <row r="237" spans="1:6" s="469" customFormat="1" ht="24.75" customHeight="1">
      <c r="A237" s="1658" t="str">
        <f>A208</f>
        <v>工程名稱:基隆河整體治理計劃（前期計劃）瑞芳區塊介壽橋下游左右岸護岸工程</v>
      </c>
      <c r="B237" s="1658"/>
      <c r="C237" s="1658"/>
      <c r="D237" s="1658"/>
      <c r="E237" s="1658"/>
      <c r="F237" s="1658"/>
    </row>
    <row r="238" spans="1:6" s="469" customFormat="1" ht="24.75" customHeight="1" thickBot="1">
      <c r="A238" s="1660" t="str">
        <f>A209</f>
        <v>施工地點：台北縣瑞芳鎮</v>
      </c>
      <c r="B238" s="1660"/>
      <c r="C238" s="1660"/>
      <c r="D238" s="501"/>
      <c r="E238" s="1661" t="s">
        <v>1409</v>
      </c>
      <c r="F238" s="1661"/>
    </row>
    <row r="239" spans="1:6" s="469" customFormat="1" ht="24" customHeight="1">
      <c r="A239" s="497" t="s">
        <v>478</v>
      </c>
      <c r="B239" s="498" t="s">
        <v>442</v>
      </c>
      <c r="C239" s="498" t="s">
        <v>439</v>
      </c>
      <c r="D239" s="498" t="s">
        <v>479</v>
      </c>
      <c r="E239" s="499" t="s">
        <v>440</v>
      </c>
      <c r="F239" s="500" t="s">
        <v>423</v>
      </c>
    </row>
    <row r="240" spans="1:6" ht="24" customHeight="1">
      <c r="A240" s="502">
        <v>1</v>
      </c>
      <c r="B240" s="402" t="str">
        <f>B6</f>
        <v>純挖方</v>
      </c>
      <c r="C240" s="402" t="str">
        <f>C6</f>
        <v>m3</v>
      </c>
      <c r="D240" s="1355" t="s">
        <v>108</v>
      </c>
      <c r="E240" s="242">
        <v>545</v>
      </c>
      <c r="F240" s="1226" t="s">
        <v>281</v>
      </c>
    </row>
    <row r="241" spans="1:6" ht="24" customHeight="1">
      <c r="A241" s="502"/>
      <c r="B241" s="402"/>
      <c r="C241" s="402"/>
      <c r="D241" s="1355"/>
      <c r="E241" s="242"/>
      <c r="F241" s="1226"/>
    </row>
    <row r="242" spans="1:6" ht="24" customHeight="1">
      <c r="A242" s="502">
        <v>2</v>
      </c>
      <c r="B242" s="402" t="str">
        <f>B8</f>
        <v>回填方</v>
      </c>
      <c r="C242" s="402" t="str">
        <f>C8</f>
        <v>m3</v>
      </c>
      <c r="D242" s="1355">
        <v>969</v>
      </c>
      <c r="E242" s="242">
        <v>969</v>
      </c>
      <c r="F242" s="1226" t="s">
        <v>281</v>
      </c>
    </row>
    <row r="243" spans="1:6" ht="24" customHeight="1">
      <c r="A243" s="502"/>
      <c r="B243" s="402"/>
      <c r="C243" s="402"/>
      <c r="D243" s="1355"/>
      <c r="E243" s="242"/>
      <c r="F243" s="1226"/>
    </row>
    <row r="244" spans="1:6" ht="24" customHeight="1">
      <c r="A244" s="502">
        <v>3</v>
      </c>
      <c r="B244" s="402" t="str">
        <f>B14</f>
        <v>工區內土方平衡處理</v>
      </c>
      <c r="C244" s="402" t="str">
        <f>C14</f>
        <v>m3</v>
      </c>
      <c r="D244" s="1355"/>
      <c r="E244" s="242">
        <v>545</v>
      </c>
      <c r="F244" s="1226"/>
    </row>
    <row r="245" spans="1:6" ht="24" customHeight="1">
      <c r="A245" s="502"/>
      <c r="B245" s="402"/>
      <c r="C245" s="402"/>
      <c r="D245" s="1355"/>
      <c r="E245" s="242"/>
      <c r="F245" s="1226"/>
    </row>
    <row r="246" spans="1:6" ht="24" customHeight="1">
      <c r="A246" s="502">
        <v>4</v>
      </c>
      <c r="B246" s="402" t="str">
        <f>B16</f>
        <v>210kgf/cm^2預拌混凝土   'G≦1",S=4"</v>
      </c>
      <c r="C246" s="402" t="str">
        <f>C16</f>
        <v>m3</v>
      </c>
      <c r="D246" s="1370">
        <v>566.96</v>
      </c>
      <c r="E246" s="242">
        <f>D246+D247+D248</f>
        <v>676</v>
      </c>
      <c r="F246" s="1226" t="s">
        <v>280</v>
      </c>
    </row>
    <row r="247" spans="1:6" ht="24" customHeight="1">
      <c r="A247" s="502"/>
      <c r="B247" s="402"/>
      <c r="C247" s="279"/>
      <c r="D247" s="1370">
        <v>97.03</v>
      </c>
      <c r="E247" s="242"/>
      <c r="F247" s="1226" t="s">
        <v>283</v>
      </c>
    </row>
    <row r="248" spans="1:6" ht="24" customHeight="1">
      <c r="A248" s="502"/>
      <c r="B248" s="402"/>
      <c r="C248" s="279"/>
      <c r="D248" s="1370">
        <v>11.82</v>
      </c>
      <c r="E248" s="242"/>
      <c r="F248" s="1226" t="s">
        <v>291</v>
      </c>
    </row>
    <row r="249" spans="1:6" ht="24" customHeight="1">
      <c r="A249" s="502"/>
      <c r="B249" s="402"/>
      <c r="C249" s="279"/>
      <c r="D249" s="1370"/>
      <c r="E249" s="242"/>
      <c r="F249" s="1226"/>
    </row>
    <row r="250" spans="1:6" ht="24" customHeight="1">
      <c r="A250" s="502">
        <v>5</v>
      </c>
      <c r="B250" s="402" t="str">
        <f>B37</f>
        <v>140kgf/cm^2預拌混凝土 'G≦1",S=4"</v>
      </c>
      <c r="C250" s="402" t="str">
        <f>C37</f>
        <v>m3</v>
      </c>
      <c r="D250" s="1370">
        <v>16.25</v>
      </c>
      <c r="E250" s="1335">
        <f>D250</f>
        <v>16.25</v>
      </c>
      <c r="F250" s="1226" t="s">
        <v>280</v>
      </c>
    </row>
    <row r="251" spans="1:6" ht="24" customHeight="1">
      <c r="A251" s="502"/>
      <c r="B251" s="402"/>
      <c r="C251" s="402"/>
      <c r="D251" s="1370"/>
      <c r="E251" s="242"/>
      <c r="F251" s="1226"/>
    </row>
    <row r="252" spans="1:6" ht="24" customHeight="1">
      <c r="A252" s="502">
        <v>6</v>
      </c>
      <c r="B252" s="402" t="str">
        <f>B49</f>
        <v>甲種模型損耗</v>
      </c>
      <c r="C252" s="402" t="str">
        <f>C49</f>
        <v>m2</v>
      </c>
      <c r="D252" s="1370">
        <v>411.65</v>
      </c>
      <c r="E252" s="242">
        <f>D252+D253</f>
        <v>674</v>
      </c>
      <c r="F252" s="1226" t="s">
        <v>280</v>
      </c>
    </row>
    <row r="253" spans="1:6" ht="24" customHeight="1">
      <c r="A253" s="502"/>
      <c r="B253" s="402"/>
      <c r="C253" s="279"/>
      <c r="D253" s="1371">
        <v>261.86</v>
      </c>
      <c r="E253" s="242"/>
      <c r="F253" s="1226" t="s">
        <v>284</v>
      </c>
    </row>
    <row r="254" spans="1:6" ht="24" customHeight="1">
      <c r="A254" s="502"/>
      <c r="B254" s="402"/>
      <c r="C254" s="279"/>
      <c r="D254" s="1371"/>
      <c r="E254" s="242"/>
      <c r="F254" s="1226"/>
    </row>
    <row r="255" spans="1:6" ht="24" customHeight="1">
      <c r="A255" s="502">
        <v>7</v>
      </c>
      <c r="B255" s="402" t="str">
        <f>B66</f>
        <v>乙種模型損耗(基礎用)</v>
      </c>
      <c r="C255" s="402" t="str">
        <f>C66</f>
        <v>m2</v>
      </c>
      <c r="D255" s="1355">
        <v>305.71</v>
      </c>
      <c r="E255" s="242">
        <f>D255</f>
        <v>306</v>
      </c>
      <c r="F255" s="1226" t="s">
        <v>280</v>
      </c>
    </row>
    <row r="256" spans="1:6" ht="24" customHeight="1">
      <c r="A256" s="502"/>
      <c r="B256" s="402"/>
      <c r="C256" s="402"/>
      <c r="D256" s="1355"/>
      <c r="E256" s="242"/>
      <c r="F256" s="1226"/>
    </row>
    <row r="257" spans="1:6" ht="24" customHeight="1">
      <c r="A257" s="502">
        <v>8</v>
      </c>
      <c r="B257" s="402" t="str">
        <f>B95</f>
        <v>鋼筋及加工組立</v>
      </c>
      <c r="C257" s="402" t="str">
        <f>C95</f>
        <v>噸</v>
      </c>
      <c r="D257" s="1370">
        <v>40.1</v>
      </c>
      <c r="E257" s="242">
        <f>D257+D258+D259</f>
        <v>68</v>
      </c>
      <c r="F257" s="1226" t="s">
        <v>282</v>
      </c>
    </row>
    <row r="258" spans="1:6" ht="24" customHeight="1">
      <c r="A258" s="502"/>
      <c r="B258" s="402"/>
      <c r="C258" s="279"/>
      <c r="D258" s="1370">
        <v>25</v>
      </c>
      <c r="E258" s="242"/>
      <c r="F258" s="1226" t="s">
        <v>285</v>
      </c>
    </row>
    <row r="259" spans="1:6" ht="24" customHeight="1">
      <c r="A259" s="502"/>
      <c r="B259" s="402"/>
      <c r="C259" s="279"/>
      <c r="D259" s="1370">
        <v>2.45</v>
      </c>
      <c r="E259" s="242"/>
      <c r="F259" s="1226" t="s">
        <v>293</v>
      </c>
    </row>
    <row r="260" spans="1:6" ht="24" customHeight="1">
      <c r="A260" s="502"/>
      <c r="B260" s="402"/>
      <c r="C260" s="279"/>
      <c r="D260" s="1370"/>
      <c r="E260" s="242"/>
      <c r="F260" s="1226"/>
    </row>
    <row r="261" spans="1:6" ht="24" customHeight="1">
      <c r="A261" s="502">
        <v>9</v>
      </c>
      <c r="B261" s="402" t="str">
        <f>B108</f>
        <v>鋼模損耗及折舊</v>
      </c>
      <c r="C261" s="402" t="str">
        <f>C108</f>
        <v>m2</v>
      </c>
      <c r="D261" s="1355">
        <v>508.05</v>
      </c>
      <c r="E261" s="242">
        <f>D261+D262</f>
        <v>581</v>
      </c>
      <c r="F261" s="1226" t="s">
        <v>292</v>
      </c>
    </row>
    <row r="262" spans="1:6" ht="24" customHeight="1" thickBot="1">
      <c r="A262" s="863"/>
      <c r="B262" s="1216"/>
      <c r="C262" s="734"/>
      <c r="D262" s="513">
        <v>73.3</v>
      </c>
      <c r="E262" s="735"/>
      <c r="F262" s="1302" t="s">
        <v>291</v>
      </c>
    </row>
    <row r="263" spans="1:256" s="469" customFormat="1" ht="24" customHeight="1">
      <c r="A263" s="844"/>
      <c r="B263" s="845"/>
      <c r="C263" s="846"/>
      <c r="D263" s="847"/>
      <c r="E263" s="848"/>
      <c r="F263" s="849"/>
      <c r="G263" s="850"/>
      <c r="H263" s="851"/>
      <c r="I263" s="844"/>
      <c r="J263" s="845"/>
      <c r="K263" s="846"/>
      <c r="L263" s="847"/>
      <c r="M263" s="848"/>
      <c r="N263" s="849"/>
      <c r="O263" s="850"/>
      <c r="P263" s="851"/>
      <c r="Q263" s="844"/>
      <c r="R263" s="845"/>
      <c r="S263" s="846"/>
      <c r="T263" s="847"/>
      <c r="U263" s="848"/>
      <c r="V263" s="849"/>
      <c r="W263" s="850"/>
      <c r="X263" s="851"/>
      <c r="Y263" s="844"/>
      <c r="Z263" s="845"/>
      <c r="AA263" s="846"/>
      <c r="AB263" s="847"/>
      <c r="AC263" s="848"/>
      <c r="AD263" s="849"/>
      <c r="AE263" s="850"/>
      <c r="AF263" s="851"/>
      <c r="AG263" s="844"/>
      <c r="AH263" s="845"/>
      <c r="AI263" s="846"/>
      <c r="AJ263" s="847"/>
      <c r="AK263" s="848"/>
      <c r="AL263" s="849"/>
      <c r="AM263" s="850"/>
      <c r="AN263" s="851"/>
      <c r="AO263" s="844"/>
      <c r="AP263" s="845"/>
      <c r="AQ263" s="846"/>
      <c r="AR263" s="847"/>
      <c r="AS263" s="848"/>
      <c r="AT263" s="849"/>
      <c r="AU263" s="850"/>
      <c r="AV263" s="851"/>
      <c r="AW263" s="844"/>
      <c r="AX263" s="845"/>
      <c r="AY263" s="846"/>
      <c r="AZ263" s="847"/>
      <c r="BA263" s="848"/>
      <c r="BB263" s="849"/>
      <c r="BC263" s="850"/>
      <c r="BD263" s="851"/>
      <c r="BE263" s="844"/>
      <c r="BF263" s="845"/>
      <c r="BG263" s="846"/>
      <c r="BH263" s="847"/>
      <c r="BI263" s="848"/>
      <c r="BJ263" s="849"/>
      <c r="BK263" s="850"/>
      <c r="BL263" s="851"/>
      <c r="BM263" s="844"/>
      <c r="BN263" s="845"/>
      <c r="BO263" s="846"/>
      <c r="BP263" s="847"/>
      <c r="BQ263" s="848"/>
      <c r="BR263" s="849"/>
      <c r="BS263" s="850"/>
      <c r="BT263" s="851"/>
      <c r="BU263" s="844"/>
      <c r="BV263" s="845"/>
      <c r="BW263" s="846"/>
      <c r="BX263" s="847"/>
      <c r="BY263" s="848"/>
      <c r="BZ263" s="849"/>
      <c r="CA263" s="850"/>
      <c r="CB263" s="851"/>
      <c r="CC263" s="844"/>
      <c r="CD263" s="845"/>
      <c r="CE263" s="846"/>
      <c r="CF263" s="847"/>
      <c r="CG263" s="848"/>
      <c r="CH263" s="849"/>
      <c r="CI263" s="850"/>
      <c r="CJ263" s="851"/>
      <c r="CK263" s="844"/>
      <c r="CL263" s="845"/>
      <c r="CM263" s="846"/>
      <c r="CN263" s="847"/>
      <c r="CO263" s="848"/>
      <c r="CP263" s="849"/>
      <c r="CQ263" s="850"/>
      <c r="CR263" s="851"/>
      <c r="CS263" s="844"/>
      <c r="CT263" s="845"/>
      <c r="CU263" s="846"/>
      <c r="CV263" s="847"/>
      <c r="CW263" s="848"/>
      <c r="CX263" s="849"/>
      <c r="CY263" s="850"/>
      <c r="CZ263" s="851"/>
      <c r="DA263" s="844"/>
      <c r="DB263" s="845"/>
      <c r="DC263" s="846"/>
      <c r="DD263" s="847"/>
      <c r="DE263" s="848"/>
      <c r="DF263" s="849"/>
      <c r="DG263" s="850"/>
      <c r="DH263" s="851"/>
      <c r="DI263" s="844"/>
      <c r="DJ263" s="845"/>
      <c r="DK263" s="846"/>
      <c r="DL263" s="847"/>
      <c r="DM263" s="848"/>
      <c r="DN263" s="849"/>
      <c r="DO263" s="850"/>
      <c r="DP263" s="851"/>
      <c r="DQ263" s="844"/>
      <c r="DR263" s="845"/>
      <c r="DS263" s="846"/>
      <c r="DT263" s="847"/>
      <c r="DU263" s="848"/>
      <c r="DV263" s="849"/>
      <c r="DW263" s="850"/>
      <c r="DX263" s="851"/>
      <c r="DY263" s="844"/>
      <c r="DZ263" s="845"/>
      <c r="EA263" s="846"/>
      <c r="EB263" s="847"/>
      <c r="EC263" s="848"/>
      <c r="ED263" s="849"/>
      <c r="EE263" s="850"/>
      <c r="EF263" s="851"/>
      <c r="EG263" s="844"/>
      <c r="EH263" s="845"/>
      <c r="EI263" s="846"/>
      <c r="EJ263" s="847"/>
      <c r="EK263" s="848"/>
      <c r="EL263" s="849"/>
      <c r="EM263" s="850"/>
      <c r="EN263" s="851"/>
      <c r="EO263" s="844"/>
      <c r="EP263" s="845"/>
      <c r="EQ263" s="846"/>
      <c r="ER263" s="847"/>
      <c r="ES263" s="848"/>
      <c r="ET263" s="849"/>
      <c r="EU263" s="850"/>
      <c r="EV263" s="851"/>
      <c r="EW263" s="844"/>
      <c r="EX263" s="845"/>
      <c r="EY263" s="846"/>
      <c r="EZ263" s="847"/>
      <c r="FA263" s="848"/>
      <c r="FB263" s="849"/>
      <c r="FC263" s="850"/>
      <c r="FD263" s="851"/>
      <c r="FE263" s="844"/>
      <c r="FF263" s="845"/>
      <c r="FG263" s="846"/>
      <c r="FH263" s="847"/>
      <c r="FI263" s="848"/>
      <c r="FJ263" s="849"/>
      <c r="FK263" s="850"/>
      <c r="FL263" s="851"/>
      <c r="FM263" s="844"/>
      <c r="FN263" s="845"/>
      <c r="FO263" s="846"/>
      <c r="FP263" s="847"/>
      <c r="FQ263" s="848"/>
      <c r="FR263" s="849"/>
      <c r="FS263" s="850"/>
      <c r="FT263" s="851"/>
      <c r="FU263" s="844"/>
      <c r="FV263" s="845"/>
      <c r="FW263" s="846"/>
      <c r="FX263" s="847"/>
      <c r="FY263" s="848"/>
      <c r="FZ263" s="849"/>
      <c r="GA263" s="850"/>
      <c r="GB263" s="851"/>
      <c r="GC263" s="844"/>
      <c r="GD263" s="845"/>
      <c r="GE263" s="846"/>
      <c r="GF263" s="847"/>
      <c r="GG263" s="848"/>
      <c r="GH263" s="849"/>
      <c r="GI263" s="850"/>
      <c r="GJ263" s="851"/>
      <c r="GK263" s="844"/>
      <c r="GL263" s="845"/>
      <c r="GM263" s="846"/>
      <c r="GN263" s="847"/>
      <c r="GO263" s="848"/>
      <c r="GP263" s="849"/>
      <c r="GQ263" s="850"/>
      <c r="GR263" s="851"/>
      <c r="GS263" s="844"/>
      <c r="GT263" s="845"/>
      <c r="GU263" s="846"/>
      <c r="GV263" s="847"/>
      <c r="GW263" s="848"/>
      <c r="GX263" s="849"/>
      <c r="GY263" s="850"/>
      <c r="GZ263" s="851"/>
      <c r="HA263" s="844"/>
      <c r="HB263" s="845"/>
      <c r="HC263" s="846"/>
      <c r="HD263" s="847"/>
      <c r="HE263" s="848"/>
      <c r="HF263" s="849"/>
      <c r="HG263" s="850"/>
      <c r="HH263" s="851"/>
      <c r="HI263" s="844"/>
      <c r="HJ263" s="845"/>
      <c r="HK263" s="846"/>
      <c r="HL263" s="847"/>
      <c r="HM263" s="848"/>
      <c r="HN263" s="849"/>
      <c r="HO263" s="850"/>
      <c r="HP263" s="851"/>
      <c r="HQ263" s="844"/>
      <c r="HR263" s="845"/>
      <c r="HS263" s="846"/>
      <c r="HT263" s="847"/>
      <c r="HU263" s="848"/>
      <c r="HV263" s="849"/>
      <c r="HW263" s="850"/>
      <c r="HX263" s="851"/>
      <c r="HY263" s="844"/>
      <c r="HZ263" s="845"/>
      <c r="IA263" s="846"/>
      <c r="IB263" s="847"/>
      <c r="IC263" s="848"/>
      <c r="ID263" s="849"/>
      <c r="IE263" s="850"/>
      <c r="IF263" s="851"/>
      <c r="IG263" s="844"/>
      <c r="IH263" s="845"/>
      <c r="II263" s="846"/>
      <c r="IJ263" s="847"/>
      <c r="IK263" s="848"/>
      <c r="IL263" s="849"/>
      <c r="IM263" s="850"/>
      <c r="IN263" s="851"/>
      <c r="IO263" s="844"/>
      <c r="IP263" s="845"/>
      <c r="IQ263" s="846"/>
      <c r="IR263" s="847"/>
      <c r="IS263" s="848"/>
      <c r="IT263" s="849"/>
      <c r="IU263" s="850"/>
      <c r="IV263" s="851"/>
    </row>
    <row r="264" spans="1:256" s="469" customFormat="1" ht="24" customHeight="1">
      <c r="A264" s="29" t="s">
        <v>457</v>
      </c>
      <c r="B264" s="29"/>
      <c r="C264" s="29"/>
      <c r="D264" s="29"/>
      <c r="E264" s="29" t="s">
        <v>458</v>
      </c>
      <c r="F264" s="29"/>
      <c r="G264" s="29"/>
      <c r="H264" s="29"/>
      <c r="I264" s="29" t="s">
        <v>457</v>
      </c>
      <c r="J264" s="29"/>
      <c r="K264" s="29"/>
      <c r="L264" s="29"/>
      <c r="M264" s="29" t="s">
        <v>458</v>
      </c>
      <c r="N264" s="29"/>
      <c r="O264" s="29"/>
      <c r="P264" s="29"/>
      <c r="Q264" s="29" t="s">
        <v>457</v>
      </c>
      <c r="R264" s="29"/>
      <c r="S264" s="29"/>
      <c r="T264" s="29"/>
      <c r="U264" s="29" t="s">
        <v>458</v>
      </c>
      <c r="V264" s="29"/>
      <c r="W264" s="29"/>
      <c r="X264" s="29"/>
      <c r="Y264" s="29" t="s">
        <v>457</v>
      </c>
      <c r="Z264" s="29"/>
      <c r="AA264" s="29"/>
      <c r="AB264" s="29"/>
      <c r="AC264" s="29" t="s">
        <v>458</v>
      </c>
      <c r="AD264" s="29"/>
      <c r="AE264" s="29"/>
      <c r="AF264" s="29"/>
      <c r="AG264" s="29" t="s">
        <v>457</v>
      </c>
      <c r="AH264" s="29"/>
      <c r="AI264" s="29"/>
      <c r="AJ264" s="29"/>
      <c r="AK264" s="29" t="s">
        <v>458</v>
      </c>
      <c r="AL264" s="29"/>
      <c r="AM264" s="29"/>
      <c r="AN264" s="29"/>
      <c r="AO264" s="29" t="s">
        <v>457</v>
      </c>
      <c r="AP264" s="29"/>
      <c r="AQ264" s="29"/>
      <c r="AR264" s="29"/>
      <c r="AS264" s="29" t="s">
        <v>458</v>
      </c>
      <c r="AT264" s="29"/>
      <c r="AU264" s="29"/>
      <c r="AV264" s="29"/>
      <c r="AW264" s="29" t="s">
        <v>457</v>
      </c>
      <c r="AX264" s="29"/>
      <c r="AY264" s="29"/>
      <c r="AZ264" s="29"/>
      <c r="BA264" s="29" t="s">
        <v>458</v>
      </c>
      <c r="BB264" s="29"/>
      <c r="BC264" s="29"/>
      <c r="BD264" s="29"/>
      <c r="BE264" s="29" t="s">
        <v>457</v>
      </c>
      <c r="BF264" s="29"/>
      <c r="BG264" s="29"/>
      <c r="BH264" s="29"/>
      <c r="BI264" s="29" t="s">
        <v>458</v>
      </c>
      <c r="BJ264" s="29"/>
      <c r="BK264" s="29"/>
      <c r="BL264" s="29"/>
      <c r="BM264" s="29" t="s">
        <v>457</v>
      </c>
      <c r="BN264" s="29"/>
      <c r="BO264" s="29"/>
      <c r="BP264" s="29"/>
      <c r="BQ264" s="29" t="s">
        <v>458</v>
      </c>
      <c r="BR264" s="29"/>
      <c r="BS264" s="29"/>
      <c r="BT264" s="29"/>
      <c r="BU264" s="29" t="s">
        <v>457</v>
      </c>
      <c r="BV264" s="29"/>
      <c r="BW264" s="29"/>
      <c r="BX264" s="29"/>
      <c r="BY264" s="29" t="s">
        <v>458</v>
      </c>
      <c r="BZ264" s="29"/>
      <c r="CA264" s="29"/>
      <c r="CB264" s="29"/>
      <c r="CC264" s="29" t="s">
        <v>457</v>
      </c>
      <c r="CD264" s="29"/>
      <c r="CE264" s="29"/>
      <c r="CF264" s="29"/>
      <c r="CG264" s="29" t="s">
        <v>458</v>
      </c>
      <c r="CH264" s="29"/>
      <c r="CI264" s="29"/>
      <c r="CJ264" s="29"/>
      <c r="CK264" s="29" t="s">
        <v>457</v>
      </c>
      <c r="CL264" s="29"/>
      <c r="CM264" s="29"/>
      <c r="CN264" s="29"/>
      <c r="CO264" s="29" t="s">
        <v>458</v>
      </c>
      <c r="CP264" s="29"/>
      <c r="CQ264" s="29"/>
      <c r="CR264" s="29"/>
      <c r="CS264" s="29" t="s">
        <v>457</v>
      </c>
      <c r="CT264" s="29"/>
      <c r="CU264" s="29"/>
      <c r="CV264" s="29"/>
      <c r="CW264" s="29" t="s">
        <v>458</v>
      </c>
      <c r="CX264" s="29"/>
      <c r="CY264" s="29"/>
      <c r="CZ264" s="29"/>
      <c r="DA264" s="29" t="s">
        <v>457</v>
      </c>
      <c r="DB264" s="29"/>
      <c r="DC264" s="29"/>
      <c r="DD264" s="29"/>
      <c r="DE264" s="29" t="s">
        <v>458</v>
      </c>
      <c r="DF264" s="29"/>
      <c r="DG264" s="29"/>
      <c r="DH264" s="29"/>
      <c r="DI264" s="29" t="s">
        <v>457</v>
      </c>
      <c r="DJ264" s="29"/>
      <c r="DK264" s="29"/>
      <c r="DL264" s="29"/>
      <c r="DM264" s="29" t="s">
        <v>458</v>
      </c>
      <c r="DN264" s="29"/>
      <c r="DO264" s="29"/>
      <c r="DP264" s="29"/>
      <c r="DQ264" s="29" t="s">
        <v>457</v>
      </c>
      <c r="DR264" s="29"/>
      <c r="DS264" s="29"/>
      <c r="DT264" s="29"/>
      <c r="DU264" s="29" t="s">
        <v>458</v>
      </c>
      <c r="DV264" s="29"/>
      <c r="DW264" s="29"/>
      <c r="DX264" s="29"/>
      <c r="DY264" s="29" t="s">
        <v>457</v>
      </c>
      <c r="DZ264" s="29"/>
      <c r="EA264" s="29"/>
      <c r="EB264" s="29"/>
      <c r="EC264" s="29" t="s">
        <v>458</v>
      </c>
      <c r="ED264" s="29"/>
      <c r="EE264" s="29"/>
      <c r="EF264" s="29"/>
      <c r="EG264" s="29" t="s">
        <v>457</v>
      </c>
      <c r="EH264" s="29"/>
      <c r="EI264" s="29"/>
      <c r="EJ264" s="29"/>
      <c r="EK264" s="29" t="s">
        <v>458</v>
      </c>
      <c r="EL264" s="29"/>
      <c r="EM264" s="29"/>
      <c r="EN264" s="29"/>
      <c r="EO264" s="29" t="s">
        <v>457</v>
      </c>
      <c r="EP264" s="29"/>
      <c r="EQ264" s="29"/>
      <c r="ER264" s="29"/>
      <c r="ES264" s="29" t="s">
        <v>458</v>
      </c>
      <c r="ET264" s="29"/>
      <c r="EU264" s="29"/>
      <c r="EV264" s="29"/>
      <c r="EW264" s="29" t="s">
        <v>457</v>
      </c>
      <c r="EX264" s="29"/>
      <c r="EY264" s="29"/>
      <c r="EZ264" s="29"/>
      <c r="FA264" s="29" t="s">
        <v>458</v>
      </c>
      <c r="FB264" s="29"/>
      <c r="FC264" s="29"/>
      <c r="FD264" s="29"/>
      <c r="FE264" s="29" t="s">
        <v>457</v>
      </c>
      <c r="FF264" s="29"/>
      <c r="FG264" s="29"/>
      <c r="FH264" s="29"/>
      <c r="FI264" s="29" t="s">
        <v>458</v>
      </c>
      <c r="FJ264" s="29"/>
      <c r="FK264" s="29"/>
      <c r="FL264" s="29"/>
      <c r="FM264" s="29" t="s">
        <v>457</v>
      </c>
      <c r="FN264" s="29"/>
      <c r="FO264" s="29"/>
      <c r="FP264" s="29"/>
      <c r="FQ264" s="29" t="s">
        <v>458</v>
      </c>
      <c r="FR264" s="29"/>
      <c r="FS264" s="29"/>
      <c r="FT264" s="29"/>
      <c r="FU264" s="29" t="s">
        <v>457</v>
      </c>
      <c r="FV264" s="29"/>
      <c r="FW264" s="29"/>
      <c r="FX264" s="29"/>
      <c r="FY264" s="29" t="s">
        <v>458</v>
      </c>
      <c r="FZ264" s="29"/>
      <c r="GA264" s="29"/>
      <c r="GB264" s="29"/>
      <c r="GC264" s="29" t="s">
        <v>457</v>
      </c>
      <c r="GD264" s="29"/>
      <c r="GE264" s="29"/>
      <c r="GF264" s="29"/>
      <c r="GG264" s="29" t="s">
        <v>458</v>
      </c>
      <c r="GH264" s="29"/>
      <c r="GI264" s="29"/>
      <c r="GJ264" s="29"/>
      <c r="GK264" s="29" t="s">
        <v>457</v>
      </c>
      <c r="GL264" s="29"/>
      <c r="GM264" s="29"/>
      <c r="GN264" s="29"/>
      <c r="GO264" s="29" t="s">
        <v>458</v>
      </c>
      <c r="GP264" s="29"/>
      <c r="GQ264" s="29"/>
      <c r="GR264" s="29"/>
      <c r="GS264" s="29" t="s">
        <v>457</v>
      </c>
      <c r="GT264" s="29"/>
      <c r="GU264" s="29"/>
      <c r="GV264" s="29"/>
      <c r="GW264" s="29" t="s">
        <v>458</v>
      </c>
      <c r="GX264" s="29"/>
      <c r="GY264" s="29"/>
      <c r="GZ264" s="29"/>
      <c r="HA264" s="29" t="s">
        <v>457</v>
      </c>
      <c r="HB264" s="29"/>
      <c r="HC264" s="29"/>
      <c r="HD264" s="29"/>
      <c r="HE264" s="29" t="s">
        <v>458</v>
      </c>
      <c r="HF264" s="29"/>
      <c r="HG264" s="29"/>
      <c r="HH264" s="29"/>
      <c r="HI264" s="29" t="s">
        <v>457</v>
      </c>
      <c r="HJ264" s="29"/>
      <c r="HK264" s="29"/>
      <c r="HL264" s="29"/>
      <c r="HM264" s="29" t="s">
        <v>458</v>
      </c>
      <c r="HN264" s="29"/>
      <c r="HO264" s="29"/>
      <c r="HP264" s="29"/>
      <c r="HQ264" s="29" t="s">
        <v>457</v>
      </c>
      <c r="HR264" s="29"/>
      <c r="HS264" s="29"/>
      <c r="HT264" s="29"/>
      <c r="HU264" s="29" t="s">
        <v>458</v>
      </c>
      <c r="HV264" s="29"/>
      <c r="HW264" s="29"/>
      <c r="HX264" s="29"/>
      <c r="HY264" s="29" t="s">
        <v>457</v>
      </c>
      <c r="HZ264" s="29"/>
      <c r="IA264" s="29"/>
      <c r="IB264" s="29"/>
      <c r="IC264" s="29" t="s">
        <v>458</v>
      </c>
      <c r="ID264" s="29"/>
      <c r="IE264" s="29"/>
      <c r="IF264" s="29"/>
      <c r="IG264" s="29" t="s">
        <v>457</v>
      </c>
      <c r="IH264" s="29"/>
      <c r="II264" s="29"/>
      <c r="IJ264" s="29"/>
      <c r="IK264" s="29" t="s">
        <v>458</v>
      </c>
      <c r="IL264" s="29"/>
      <c r="IM264" s="29"/>
      <c r="IN264" s="29"/>
      <c r="IO264" s="29" t="s">
        <v>457</v>
      </c>
      <c r="IP264" s="29"/>
      <c r="IQ264" s="29"/>
      <c r="IR264" s="29"/>
      <c r="IS264" s="29" t="s">
        <v>458</v>
      </c>
      <c r="IT264" s="29"/>
      <c r="IU264" s="29"/>
      <c r="IV264" s="29"/>
    </row>
    <row r="265" spans="1:6" s="469" customFormat="1" ht="24.75" customHeight="1">
      <c r="A265" s="1659" t="str">
        <f>A235</f>
        <v>經濟部水利署第十河川局</v>
      </c>
      <c r="B265" s="1659"/>
      <c r="C265" s="1659"/>
      <c r="D265" s="1659"/>
      <c r="E265" s="1659"/>
      <c r="F265" s="1659"/>
    </row>
    <row r="266" spans="1:6" s="469" customFormat="1" ht="24.75" customHeight="1">
      <c r="A266" s="1659" t="s">
        <v>308</v>
      </c>
      <c r="B266" s="1659"/>
      <c r="C266" s="1659"/>
      <c r="D266" s="1659"/>
      <c r="E266" s="1659"/>
      <c r="F266" s="1659"/>
    </row>
    <row r="267" spans="1:6" s="469" customFormat="1" ht="24.75" customHeight="1">
      <c r="A267" s="1658" t="str">
        <f>A237</f>
        <v>工程名稱:基隆河整體治理計劃（前期計劃）瑞芳區塊介壽橋下游左右岸護岸工程</v>
      </c>
      <c r="B267" s="1658"/>
      <c r="C267" s="1658"/>
      <c r="D267" s="1658"/>
      <c r="E267" s="1658"/>
      <c r="F267" s="1658"/>
    </row>
    <row r="268" spans="1:6" s="469" customFormat="1" ht="24.75" customHeight="1" thickBot="1">
      <c r="A268" s="1660" t="str">
        <f>A238</f>
        <v>施工地點：台北縣瑞芳鎮</v>
      </c>
      <c r="B268" s="1660"/>
      <c r="C268" s="1660"/>
      <c r="D268" s="501"/>
      <c r="E268" s="1661" t="s">
        <v>1410</v>
      </c>
      <c r="F268" s="1661"/>
    </row>
    <row r="269" spans="1:6" s="469" customFormat="1" ht="24" customHeight="1">
      <c r="A269" s="497" t="s">
        <v>478</v>
      </c>
      <c r="B269" s="498" t="s">
        <v>442</v>
      </c>
      <c r="C269" s="498" t="s">
        <v>439</v>
      </c>
      <c r="D269" s="498" t="s">
        <v>479</v>
      </c>
      <c r="E269" s="499" t="s">
        <v>440</v>
      </c>
      <c r="F269" s="500" t="s">
        <v>423</v>
      </c>
    </row>
    <row r="270" spans="1:6" ht="24.75" customHeight="1">
      <c r="A270" s="502">
        <v>10</v>
      </c>
      <c r="B270" s="402" t="str">
        <f>B124</f>
        <v>直徑3"洩水管</v>
      </c>
      <c r="C270" s="402" t="str">
        <f>C124</f>
        <v>支</v>
      </c>
      <c r="D270" s="1356"/>
      <c r="E270" s="242">
        <v>39</v>
      </c>
      <c r="F270" s="1226" t="s">
        <v>282</v>
      </c>
    </row>
    <row r="271" spans="1:6" ht="24.75" customHeight="1">
      <c r="A271" s="502"/>
      <c r="B271" s="402"/>
      <c r="C271" s="402"/>
      <c r="D271" s="1356"/>
      <c r="E271" s="242"/>
      <c r="F271" s="1226"/>
    </row>
    <row r="272" spans="1:6" s="469" customFormat="1" ht="24" customHeight="1">
      <c r="A272" s="502">
        <v>11</v>
      </c>
      <c r="B272" s="402" t="str">
        <f>'單價分析表'!D163</f>
        <v>橡膠止水帶（9mmx220mm）</v>
      </c>
      <c r="C272" s="279" t="str">
        <f>'單價分析表'!H163</f>
        <v>M</v>
      </c>
      <c r="D272" s="1356"/>
      <c r="E272" s="1334">
        <v>15.2</v>
      </c>
      <c r="F272" s="1226" t="s">
        <v>282</v>
      </c>
    </row>
    <row r="273" spans="1:6" s="469" customFormat="1" ht="24" customHeight="1">
      <c r="A273" s="502"/>
      <c r="B273" s="402"/>
      <c r="C273" s="279"/>
      <c r="D273" s="1356"/>
      <c r="E273" s="242"/>
      <c r="F273" s="1226"/>
    </row>
    <row r="274" spans="1:6" s="469" customFormat="1" ht="24" customHeight="1">
      <c r="A274" s="502">
        <v>12</v>
      </c>
      <c r="B274" s="402" t="str">
        <f>B173</f>
        <v>舖設黏層(150℃  AC)</v>
      </c>
      <c r="C274" s="402" t="str">
        <f>C173</f>
        <v>m2</v>
      </c>
      <c r="D274" s="1356">
        <v>12.84</v>
      </c>
      <c r="E274" s="242">
        <v>13</v>
      </c>
      <c r="F274" s="1226"/>
    </row>
    <row r="275" spans="1:6" s="469" customFormat="1" ht="24" customHeight="1">
      <c r="A275" s="502"/>
      <c r="B275" s="402"/>
      <c r="C275" s="402"/>
      <c r="D275" s="1356"/>
      <c r="E275" s="242"/>
      <c r="F275" s="1226"/>
    </row>
    <row r="276" spans="1:6" s="469" customFormat="1" ht="24" customHeight="1">
      <c r="A276" s="502">
        <v>13</v>
      </c>
      <c r="B276" s="402" t="str">
        <f>B182</f>
        <v>瀝青混凝土面層</v>
      </c>
      <c r="C276" s="402" t="str">
        <f>C182</f>
        <v>m2</v>
      </c>
      <c r="D276" s="1356">
        <v>12.84</v>
      </c>
      <c r="E276" s="242">
        <v>13</v>
      </c>
      <c r="F276" s="1226"/>
    </row>
    <row r="277" spans="1:6" s="469" customFormat="1" ht="24" customHeight="1">
      <c r="A277" s="502"/>
      <c r="B277" s="402"/>
      <c r="C277" s="402"/>
      <c r="D277" s="1356"/>
      <c r="E277" s="242"/>
      <c r="F277" s="1226"/>
    </row>
    <row r="278" spans="1:6" ht="24" customHeight="1">
      <c r="A278" s="502">
        <v>14</v>
      </c>
      <c r="B278" s="402" t="str">
        <f>B187</f>
        <v>仿木欄杆</v>
      </c>
      <c r="C278" s="402" t="str">
        <f>C187</f>
        <v>組</v>
      </c>
      <c r="D278" s="1355">
        <v>53.48</v>
      </c>
      <c r="E278" s="1334">
        <v>53.5</v>
      </c>
      <c r="F278" s="1226" t="s">
        <v>291</v>
      </c>
    </row>
    <row r="279" spans="1:6" ht="24" customHeight="1">
      <c r="A279" s="502"/>
      <c r="B279" s="402"/>
      <c r="C279" s="402"/>
      <c r="D279" s="1355"/>
      <c r="E279" s="242"/>
      <c r="F279" s="1226"/>
    </row>
    <row r="280" spans="1:6" ht="24" customHeight="1">
      <c r="A280" s="502">
        <v>15</v>
      </c>
      <c r="B280" s="402" t="str">
        <f>'單價分析表'!D703</f>
        <v>7.5cmφ套管及清洗灌漿</v>
      </c>
      <c r="C280" s="279" t="str">
        <f>'單價分析表'!E715</f>
        <v>M</v>
      </c>
      <c r="D280" s="1355"/>
      <c r="E280" s="1335">
        <v>348.75</v>
      </c>
      <c r="F280" s="1226" t="s">
        <v>283</v>
      </c>
    </row>
    <row r="281" spans="1:6" ht="24" customHeight="1">
      <c r="A281" s="502"/>
      <c r="B281" s="402"/>
      <c r="C281" s="279"/>
      <c r="D281" s="1355"/>
      <c r="E281" s="1335"/>
      <c r="F281" s="1226"/>
    </row>
    <row r="282" spans="1:6" ht="24" customHeight="1">
      <c r="A282" s="502">
        <v>16</v>
      </c>
      <c r="B282" s="402" t="str">
        <f>'單價分析表'!D716</f>
        <v>12-7cmφ鋼腱安裝及施預力</v>
      </c>
      <c r="C282" s="279" t="str">
        <f>'單價分析表'!H716</f>
        <v> T</v>
      </c>
      <c r="D282" s="1355"/>
      <c r="E282" s="1335">
        <v>3.43</v>
      </c>
      <c r="F282" s="1226" t="s">
        <v>283</v>
      </c>
    </row>
    <row r="283" spans="1:6" ht="24" customHeight="1">
      <c r="A283" s="502"/>
      <c r="B283" s="402"/>
      <c r="C283" s="279"/>
      <c r="D283" s="1355"/>
      <c r="E283" s="1335"/>
      <c r="F283" s="1226"/>
    </row>
    <row r="284" spans="1:6" ht="24" customHeight="1">
      <c r="A284" s="502">
        <v>17</v>
      </c>
      <c r="B284" s="402" t="str">
        <f>'單價分析表'!D734</f>
        <v>12-7cmφ鋼索錨錐及安裝</v>
      </c>
      <c r="C284" s="279" t="str">
        <f>'單價分析表'!H734</f>
        <v>組</v>
      </c>
      <c r="D284" s="1355"/>
      <c r="E284" s="242">
        <v>30</v>
      </c>
      <c r="F284" s="1226" t="s">
        <v>283</v>
      </c>
    </row>
    <row r="285" spans="1:6" ht="24" customHeight="1">
      <c r="A285" s="502"/>
      <c r="B285" s="402"/>
      <c r="C285" s="279"/>
      <c r="D285" s="441"/>
      <c r="E285" s="242"/>
      <c r="F285" s="1226"/>
    </row>
    <row r="286" spans="1:6" ht="24" customHeight="1">
      <c r="A286" s="502">
        <v>18</v>
      </c>
      <c r="B286" s="402" t="str">
        <f>'單價分析表'!D747</f>
        <v>預力梁吊運及安裝</v>
      </c>
      <c r="C286" s="279" t="str">
        <f>'單價分析表'!H747</f>
        <v>支</v>
      </c>
      <c r="D286" s="441"/>
      <c r="E286" s="242">
        <v>5</v>
      </c>
      <c r="F286" s="1226" t="s">
        <v>283</v>
      </c>
    </row>
    <row r="287" spans="1:6" ht="24" customHeight="1">
      <c r="A287" s="502"/>
      <c r="B287" s="402"/>
      <c r="C287" s="279"/>
      <c r="D287" s="441"/>
      <c r="E287" s="242"/>
      <c r="F287" s="1226"/>
    </row>
    <row r="288" spans="1:6" ht="24" customHeight="1">
      <c r="A288" s="502">
        <v>19</v>
      </c>
      <c r="B288" s="402" t="str">
        <f>'單價分析表'!D765</f>
        <v>角鋼伸縮縫</v>
      </c>
      <c r="C288" s="279" t="str">
        <f>'單價分析表'!H765</f>
        <v>m</v>
      </c>
      <c r="D288" s="441"/>
      <c r="E288" s="1334">
        <v>23.8</v>
      </c>
      <c r="F288" s="471"/>
    </row>
    <row r="289" spans="1:6" ht="24" customHeight="1">
      <c r="A289" s="502"/>
      <c r="B289" s="402"/>
      <c r="C289" s="279"/>
      <c r="D289" s="441"/>
      <c r="E289" s="1334"/>
      <c r="F289" s="471"/>
    </row>
    <row r="290" spans="1:6" ht="24" customHeight="1">
      <c r="A290" s="502">
        <v>20</v>
      </c>
      <c r="B290" s="402" t="str">
        <f>'單價分析表'!D778</f>
        <v>38mmφ防震拉條</v>
      </c>
      <c r="C290" s="279" t="str">
        <f>'單價分析表'!H778</f>
        <v> 支</v>
      </c>
      <c r="D290" s="441"/>
      <c r="E290" s="242">
        <v>16</v>
      </c>
      <c r="F290" s="471"/>
    </row>
    <row r="291" spans="1:6" ht="24" customHeight="1">
      <c r="A291" s="502"/>
      <c r="B291" s="402"/>
      <c r="C291" s="279"/>
      <c r="D291" s="441"/>
      <c r="E291" s="242"/>
      <c r="F291" s="471"/>
    </row>
    <row r="292" spans="1:6" ht="24" customHeight="1" thickBot="1">
      <c r="A292" s="863">
        <v>21</v>
      </c>
      <c r="B292" s="1216" t="str">
        <f>'單價分析表'!D796</f>
        <v>高壓混凝土磚</v>
      </c>
      <c r="C292" s="734" t="str">
        <f>'單價分析表'!H796</f>
        <v>m2</v>
      </c>
      <c r="D292" s="864"/>
      <c r="E292" s="735">
        <v>69</v>
      </c>
      <c r="F292" s="865" t="s">
        <v>282</v>
      </c>
    </row>
    <row r="293" spans="1:256" s="469" customFormat="1" ht="24" customHeight="1">
      <c r="A293" s="844"/>
      <c r="B293" s="845"/>
      <c r="C293" s="846"/>
      <c r="D293" s="847"/>
      <c r="E293" s="848"/>
      <c r="F293" s="849"/>
      <c r="G293" s="850"/>
      <c r="H293" s="851"/>
      <c r="I293" s="844"/>
      <c r="J293" s="845"/>
      <c r="K293" s="846"/>
      <c r="L293" s="847"/>
      <c r="M293" s="848"/>
      <c r="N293" s="849"/>
      <c r="O293" s="850"/>
      <c r="P293" s="851"/>
      <c r="Q293" s="844"/>
      <c r="R293" s="845"/>
      <c r="S293" s="846"/>
      <c r="T293" s="847"/>
      <c r="U293" s="848"/>
      <c r="V293" s="849"/>
      <c r="W293" s="850"/>
      <c r="X293" s="851"/>
      <c r="Y293" s="844"/>
      <c r="Z293" s="845"/>
      <c r="AA293" s="846"/>
      <c r="AB293" s="847"/>
      <c r="AC293" s="848"/>
      <c r="AD293" s="849"/>
      <c r="AE293" s="850"/>
      <c r="AF293" s="851"/>
      <c r="AG293" s="844"/>
      <c r="AH293" s="845"/>
      <c r="AI293" s="846"/>
      <c r="AJ293" s="847"/>
      <c r="AK293" s="848"/>
      <c r="AL293" s="849"/>
      <c r="AM293" s="850"/>
      <c r="AN293" s="851"/>
      <c r="AO293" s="844"/>
      <c r="AP293" s="845"/>
      <c r="AQ293" s="846"/>
      <c r="AR293" s="847"/>
      <c r="AS293" s="848"/>
      <c r="AT293" s="849"/>
      <c r="AU293" s="850"/>
      <c r="AV293" s="851"/>
      <c r="AW293" s="844"/>
      <c r="AX293" s="845"/>
      <c r="AY293" s="846"/>
      <c r="AZ293" s="847"/>
      <c r="BA293" s="848"/>
      <c r="BB293" s="849"/>
      <c r="BC293" s="850"/>
      <c r="BD293" s="851"/>
      <c r="BE293" s="844"/>
      <c r="BF293" s="845"/>
      <c r="BG293" s="846"/>
      <c r="BH293" s="847"/>
      <c r="BI293" s="848"/>
      <c r="BJ293" s="849"/>
      <c r="BK293" s="850"/>
      <c r="BL293" s="851"/>
      <c r="BM293" s="844"/>
      <c r="BN293" s="845"/>
      <c r="BO293" s="846"/>
      <c r="BP293" s="847"/>
      <c r="BQ293" s="848"/>
      <c r="BR293" s="849"/>
      <c r="BS293" s="850"/>
      <c r="BT293" s="851"/>
      <c r="BU293" s="844"/>
      <c r="BV293" s="845"/>
      <c r="BW293" s="846"/>
      <c r="BX293" s="847"/>
      <c r="BY293" s="848"/>
      <c r="BZ293" s="849"/>
      <c r="CA293" s="850"/>
      <c r="CB293" s="851"/>
      <c r="CC293" s="844"/>
      <c r="CD293" s="845"/>
      <c r="CE293" s="846"/>
      <c r="CF293" s="847"/>
      <c r="CG293" s="848"/>
      <c r="CH293" s="849"/>
      <c r="CI293" s="850"/>
      <c r="CJ293" s="851"/>
      <c r="CK293" s="844"/>
      <c r="CL293" s="845"/>
      <c r="CM293" s="846"/>
      <c r="CN293" s="847"/>
      <c r="CO293" s="848"/>
      <c r="CP293" s="849"/>
      <c r="CQ293" s="850"/>
      <c r="CR293" s="851"/>
      <c r="CS293" s="844"/>
      <c r="CT293" s="845"/>
      <c r="CU293" s="846"/>
      <c r="CV293" s="847"/>
      <c r="CW293" s="848"/>
      <c r="CX293" s="849"/>
      <c r="CY293" s="850"/>
      <c r="CZ293" s="851"/>
      <c r="DA293" s="844"/>
      <c r="DB293" s="845"/>
      <c r="DC293" s="846"/>
      <c r="DD293" s="847"/>
      <c r="DE293" s="848"/>
      <c r="DF293" s="849"/>
      <c r="DG293" s="850"/>
      <c r="DH293" s="851"/>
      <c r="DI293" s="844"/>
      <c r="DJ293" s="845"/>
      <c r="DK293" s="846"/>
      <c r="DL293" s="847"/>
      <c r="DM293" s="848"/>
      <c r="DN293" s="849"/>
      <c r="DO293" s="850"/>
      <c r="DP293" s="851"/>
      <c r="DQ293" s="844"/>
      <c r="DR293" s="845"/>
      <c r="DS293" s="846"/>
      <c r="DT293" s="847"/>
      <c r="DU293" s="848"/>
      <c r="DV293" s="849"/>
      <c r="DW293" s="850"/>
      <c r="DX293" s="851"/>
      <c r="DY293" s="844"/>
      <c r="DZ293" s="845"/>
      <c r="EA293" s="846"/>
      <c r="EB293" s="847"/>
      <c r="EC293" s="848"/>
      <c r="ED293" s="849"/>
      <c r="EE293" s="850"/>
      <c r="EF293" s="851"/>
      <c r="EG293" s="844"/>
      <c r="EH293" s="845"/>
      <c r="EI293" s="846"/>
      <c r="EJ293" s="847"/>
      <c r="EK293" s="848"/>
      <c r="EL293" s="849"/>
      <c r="EM293" s="850"/>
      <c r="EN293" s="851"/>
      <c r="EO293" s="844"/>
      <c r="EP293" s="845"/>
      <c r="EQ293" s="846"/>
      <c r="ER293" s="847"/>
      <c r="ES293" s="848"/>
      <c r="ET293" s="849"/>
      <c r="EU293" s="850"/>
      <c r="EV293" s="851"/>
      <c r="EW293" s="844"/>
      <c r="EX293" s="845"/>
      <c r="EY293" s="846"/>
      <c r="EZ293" s="847"/>
      <c r="FA293" s="848"/>
      <c r="FB293" s="849"/>
      <c r="FC293" s="850"/>
      <c r="FD293" s="851"/>
      <c r="FE293" s="844"/>
      <c r="FF293" s="845"/>
      <c r="FG293" s="846"/>
      <c r="FH293" s="847"/>
      <c r="FI293" s="848"/>
      <c r="FJ293" s="849"/>
      <c r="FK293" s="850"/>
      <c r="FL293" s="851"/>
      <c r="FM293" s="844"/>
      <c r="FN293" s="845"/>
      <c r="FO293" s="846"/>
      <c r="FP293" s="847"/>
      <c r="FQ293" s="848"/>
      <c r="FR293" s="849"/>
      <c r="FS293" s="850"/>
      <c r="FT293" s="851"/>
      <c r="FU293" s="844"/>
      <c r="FV293" s="845"/>
      <c r="FW293" s="846"/>
      <c r="FX293" s="847"/>
      <c r="FY293" s="848"/>
      <c r="FZ293" s="849"/>
      <c r="GA293" s="850"/>
      <c r="GB293" s="851"/>
      <c r="GC293" s="844"/>
      <c r="GD293" s="845"/>
      <c r="GE293" s="846"/>
      <c r="GF293" s="847"/>
      <c r="GG293" s="848"/>
      <c r="GH293" s="849"/>
      <c r="GI293" s="850"/>
      <c r="GJ293" s="851"/>
      <c r="GK293" s="844"/>
      <c r="GL293" s="845"/>
      <c r="GM293" s="846"/>
      <c r="GN293" s="847"/>
      <c r="GO293" s="848"/>
      <c r="GP293" s="849"/>
      <c r="GQ293" s="850"/>
      <c r="GR293" s="851"/>
      <c r="GS293" s="844"/>
      <c r="GT293" s="845"/>
      <c r="GU293" s="846"/>
      <c r="GV293" s="847"/>
      <c r="GW293" s="848"/>
      <c r="GX293" s="849"/>
      <c r="GY293" s="850"/>
      <c r="GZ293" s="851"/>
      <c r="HA293" s="844"/>
      <c r="HB293" s="845"/>
      <c r="HC293" s="846"/>
      <c r="HD293" s="847"/>
      <c r="HE293" s="848"/>
      <c r="HF293" s="849"/>
      <c r="HG293" s="850"/>
      <c r="HH293" s="851"/>
      <c r="HI293" s="844"/>
      <c r="HJ293" s="845"/>
      <c r="HK293" s="846"/>
      <c r="HL293" s="847"/>
      <c r="HM293" s="848"/>
      <c r="HN293" s="849"/>
      <c r="HO293" s="850"/>
      <c r="HP293" s="851"/>
      <c r="HQ293" s="844"/>
      <c r="HR293" s="845"/>
      <c r="HS293" s="846"/>
      <c r="HT293" s="847"/>
      <c r="HU293" s="848"/>
      <c r="HV293" s="849"/>
      <c r="HW293" s="850"/>
      <c r="HX293" s="851"/>
      <c r="HY293" s="844"/>
      <c r="HZ293" s="845"/>
      <c r="IA293" s="846"/>
      <c r="IB293" s="847"/>
      <c r="IC293" s="848"/>
      <c r="ID293" s="849"/>
      <c r="IE293" s="850"/>
      <c r="IF293" s="851"/>
      <c r="IG293" s="844"/>
      <c r="IH293" s="845"/>
      <c r="II293" s="846"/>
      <c r="IJ293" s="847"/>
      <c r="IK293" s="848"/>
      <c r="IL293" s="849"/>
      <c r="IM293" s="850"/>
      <c r="IN293" s="851"/>
      <c r="IO293" s="844"/>
      <c r="IP293" s="845"/>
      <c r="IQ293" s="846"/>
      <c r="IR293" s="847"/>
      <c r="IS293" s="848"/>
      <c r="IT293" s="849"/>
      <c r="IU293" s="850"/>
      <c r="IV293" s="851"/>
    </row>
    <row r="294" spans="1:256" s="469" customFormat="1" ht="24" customHeight="1">
      <c r="A294" s="29" t="s">
        <v>457</v>
      </c>
      <c r="B294" s="29"/>
      <c r="C294" s="29"/>
      <c r="D294" s="29"/>
      <c r="E294" s="29" t="s">
        <v>458</v>
      </c>
      <c r="F294" s="29"/>
      <c r="G294" s="29"/>
      <c r="H294" s="29"/>
      <c r="I294" s="29" t="s">
        <v>457</v>
      </c>
      <c r="J294" s="29"/>
      <c r="K294" s="29"/>
      <c r="L294" s="29"/>
      <c r="M294" s="29" t="s">
        <v>458</v>
      </c>
      <c r="N294" s="29"/>
      <c r="O294" s="29"/>
      <c r="P294" s="29"/>
      <c r="Q294" s="29" t="s">
        <v>457</v>
      </c>
      <c r="R294" s="29"/>
      <c r="S294" s="29"/>
      <c r="T294" s="29"/>
      <c r="U294" s="29" t="s">
        <v>458</v>
      </c>
      <c r="V294" s="29"/>
      <c r="W294" s="29"/>
      <c r="X294" s="29"/>
      <c r="Y294" s="29" t="s">
        <v>457</v>
      </c>
      <c r="Z294" s="29"/>
      <c r="AA294" s="29"/>
      <c r="AB294" s="29"/>
      <c r="AC294" s="29" t="s">
        <v>458</v>
      </c>
      <c r="AD294" s="29"/>
      <c r="AE294" s="29"/>
      <c r="AF294" s="29"/>
      <c r="AG294" s="29" t="s">
        <v>457</v>
      </c>
      <c r="AH294" s="29"/>
      <c r="AI294" s="29"/>
      <c r="AJ294" s="29"/>
      <c r="AK294" s="29" t="s">
        <v>458</v>
      </c>
      <c r="AL294" s="29"/>
      <c r="AM294" s="29"/>
      <c r="AN294" s="29"/>
      <c r="AO294" s="29" t="s">
        <v>457</v>
      </c>
      <c r="AP294" s="29"/>
      <c r="AQ294" s="29"/>
      <c r="AR294" s="29"/>
      <c r="AS294" s="29" t="s">
        <v>458</v>
      </c>
      <c r="AT294" s="29"/>
      <c r="AU294" s="29"/>
      <c r="AV294" s="29"/>
      <c r="AW294" s="29" t="s">
        <v>457</v>
      </c>
      <c r="AX294" s="29"/>
      <c r="AY294" s="29"/>
      <c r="AZ294" s="29"/>
      <c r="BA294" s="29" t="s">
        <v>458</v>
      </c>
      <c r="BB294" s="29"/>
      <c r="BC294" s="29"/>
      <c r="BD294" s="29"/>
      <c r="BE294" s="29" t="s">
        <v>457</v>
      </c>
      <c r="BF294" s="29"/>
      <c r="BG294" s="29"/>
      <c r="BH294" s="29"/>
      <c r="BI294" s="29" t="s">
        <v>458</v>
      </c>
      <c r="BJ294" s="29"/>
      <c r="BK294" s="29"/>
      <c r="BL294" s="29"/>
      <c r="BM294" s="29" t="s">
        <v>457</v>
      </c>
      <c r="BN294" s="29"/>
      <c r="BO294" s="29"/>
      <c r="BP294" s="29"/>
      <c r="BQ294" s="29" t="s">
        <v>458</v>
      </c>
      <c r="BR294" s="29"/>
      <c r="BS294" s="29"/>
      <c r="BT294" s="29"/>
      <c r="BU294" s="29" t="s">
        <v>457</v>
      </c>
      <c r="BV294" s="29"/>
      <c r="BW294" s="29"/>
      <c r="BX294" s="29"/>
      <c r="BY294" s="29" t="s">
        <v>458</v>
      </c>
      <c r="BZ294" s="29"/>
      <c r="CA294" s="29"/>
      <c r="CB294" s="29"/>
      <c r="CC294" s="29" t="s">
        <v>457</v>
      </c>
      <c r="CD294" s="29"/>
      <c r="CE294" s="29"/>
      <c r="CF294" s="29"/>
      <c r="CG294" s="29" t="s">
        <v>458</v>
      </c>
      <c r="CH294" s="29"/>
      <c r="CI294" s="29"/>
      <c r="CJ294" s="29"/>
      <c r="CK294" s="29" t="s">
        <v>457</v>
      </c>
      <c r="CL294" s="29"/>
      <c r="CM294" s="29"/>
      <c r="CN294" s="29"/>
      <c r="CO294" s="29" t="s">
        <v>458</v>
      </c>
      <c r="CP294" s="29"/>
      <c r="CQ294" s="29"/>
      <c r="CR294" s="29"/>
      <c r="CS294" s="29" t="s">
        <v>457</v>
      </c>
      <c r="CT294" s="29"/>
      <c r="CU294" s="29"/>
      <c r="CV294" s="29"/>
      <c r="CW294" s="29" t="s">
        <v>458</v>
      </c>
      <c r="CX294" s="29"/>
      <c r="CY294" s="29"/>
      <c r="CZ294" s="29"/>
      <c r="DA294" s="29" t="s">
        <v>457</v>
      </c>
      <c r="DB294" s="29"/>
      <c r="DC294" s="29"/>
      <c r="DD294" s="29"/>
      <c r="DE294" s="29" t="s">
        <v>458</v>
      </c>
      <c r="DF294" s="29"/>
      <c r="DG294" s="29"/>
      <c r="DH294" s="29"/>
      <c r="DI294" s="29" t="s">
        <v>457</v>
      </c>
      <c r="DJ294" s="29"/>
      <c r="DK294" s="29"/>
      <c r="DL294" s="29"/>
      <c r="DM294" s="29" t="s">
        <v>458</v>
      </c>
      <c r="DN294" s="29"/>
      <c r="DO294" s="29"/>
      <c r="DP294" s="29"/>
      <c r="DQ294" s="29" t="s">
        <v>457</v>
      </c>
      <c r="DR294" s="29"/>
      <c r="DS294" s="29"/>
      <c r="DT294" s="29"/>
      <c r="DU294" s="29" t="s">
        <v>458</v>
      </c>
      <c r="DV294" s="29"/>
      <c r="DW294" s="29"/>
      <c r="DX294" s="29"/>
      <c r="DY294" s="29" t="s">
        <v>457</v>
      </c>
      <c r="DZ294" s="29"/>
      <c r="EA294" s="29"/>
      <c r="EB294" s="29"/>
      <c r="EC294" s="29" t="s">
        <v>458</v>
      </c>
      <c r="ED294" s="29"/>
      <c r="EE294" s="29"/>
      <c r="EF294" s="29"/>
      <c r="EG294" s="29" t="s">
        <v>457</v>
      </c>
      <c r="EH294" s="29"/>
      <c r="EI294" s="29"/>
      <c r="EJ294" s="29"/>
      <c r="EK294" s="29" t="s">
        <v>458</v>
      </c>
      <c r="EL294" s="29"/>
      <c r="EM294" s="29"/>
      <c r="EN294" s="29"/>
      <c r="EO294" s="29" t="s">
        <v>457</v>
      </c>
      <c r="EP294" s="29"/>
      <c r="EQ294" s="29"/>
      <c r="ER294" s="29"/>
      <c r="ES294" s="29" t="s">
        <v>458</v>
      </c>
      <c r="ET294" s="29"/>
      <c r="EU294" s="29"/>
      <c r="EV294" s="29"/>
      <c r="EW294" s="29" t="s">
        <v>457</v>
      </c>
      <c r="EX294" s="29"/>
      <c r="EY294" s="29"/>
      <c r="EZ294" s="29"/>
      <c r="FA294" s="29" t="s">
        <v>458</v>
      </c>
      <c r="FB294" s="29"/>
      <c r="FC294" s="29"/>
      <c r="FD294" s="29"/>
      <c r="FE294" s="29" t="s">
        <v>457</v>
      </c>
      <c r="FF294" s="29"/>
      <c r="FG294" s="29"/>
      <c r="FH294" s="29"/>
      <c r="FI294" s="29" t="s">
        <v>458</v>
      </c>
      <c r="FJ294" s="29"/>
      <c r="FK294" s="29"/>
      <c r="FL294" s="29"/>
      <c r="FM294" s="29" t="s">
        <v>457</v>
      </c>
      <c r="FN294" s="29"/>
      <c r="FO294" s="29"/>
      <c r="FP294" s="29"/>
      <c r="FQ294" s="29" t="s">
        <v>458</v>
      </c>
      <c r="FR294" s="29"/>
      <c r="FS294" s="29"/>
      <c r="FT294" s="29"/>
      <c r="FU294" s="29" t="s">
        <v>457</v>
      </c>
      <c r="FV294" s="29"/>
      <c r="FW294" s="29"/>
      <c r="FX294" s="29"/>
      <c r="FY294" s="29" t="s">
        <v>458</v>
      </c>
      <c r="FZ294" s="29"/>
      <c r="GA294" s="29"/>
      <c r="GB294" s="29"/>
      <c r="GC294" s="29" t="s">
        <v>457</v>
      </c>
      <c r="GD294" s="29"/>
      <c r="GE294" s="29"/>
      <c r="GF294" s="29"/>
      <c r="GG294" s="29" t="s">
        <v>458</v>
      </c>
      <c r="GH294" s="29"/>
      <c r="GI294" s="29"/>
      <c r="GJ294" s="29"/>
      <c r="GK294" s="29" t="s">
        <v>457</v>
      </c>
      <c r="GL294" s="29"/>
      <c r="GM294" s="29"/>
      <c r="GN294" s="29"/>
      <c r="GO294" s="29" t="s">
        <v>458</v>
      </c>
      <c r="GP294" s="29"/>
      <c r="GQ294" s="29"/>
      <c r="GR294" s="29"/>
      <c r="GS294" s="29" t="s">
        <v>457</v>
      </c>
      <c r="GT294" s="29"/>
      <c r="GU294" s="29"/>
      <c r="GV294" s="29"/>
      <c r="GW294" s="29" t="s">
        <v>458</v>
      </c>
      <c r="GX294" s="29"/>
      <c r="GY294" s="29"/>
      <c r="GZ294" s="29"/>
      <c r="HA294" s="29" t="s">
        <v>457</v>
      </c>
      <c r="HB294" s="29"/>
      <c r="HC294" s="29"/>
      <c r="HD294" s="29"/>
      <c r="HE294" s="29" t="s">
        <v>458</v>
      </c>
      <c r="HF294" s="29"/>
      <c r="HG294" s="29"/>
      <c r="HH294" s="29"/>
      <c r="HI294" s="29" t="s">
        <v>457</v>
      </c>
      <c r="HJ294" s="29"/>
      <c r="HK294" s="29"/>
      <c r="HL294" s="29"/>
      <c r="HM294" s="29" t="s">
        <v>458</v>
      </c>
      <c r="HN294" s="29"/>
      <c r="HO294" s="29"/>
      <c r="HP294" s="29"/>
      <c r="HQ294" s="29" t="s">
        <v>457</v>
      </c>
      <c r="HR294" s="29"/>
      <c r="HS294" s="29"/>
      <c r="HT294" s="29"/>
      <c r="HU294" s="29" t="s">
        <v>458</v>
      </c>
      <c r="HV294" s="29"/>
      <c r="HW294" s="29"/>
      <c r="HX294" s="29"/>
      <c r="HY294" s="29" t="s">
        <v>457</v>
      </c>
      <c r="HZ294" s="29"/>
      <c r="IA294" s="29"/>
      <c r="IB294" s="29"/>
      <c r="IC294" s="29" t="s">
        <v>458</v>
      </c>
      <c r="ID294" s="29"/>
      <c r="IE294" s="29"/>
      <c r="IF294" s="29"/>
      <c r="IG294" s="29" t="s">
        <v>457</v>
      </c>
      <c r="IH294" s="29"/>
      <c r="II294" s="29"/>
      <c r="IJ294" s="29"/>
      <c r="IK294" s="29" t="s">
        <v>458</v>
      </c>
      <c r="IL294" s="29"/>
      <c r="IM294" s="29"/>
      <c r="IN294" s="29"/>
      <c r="IO294" s="29" t="s">
        <v>457</v>
      </c>
      <c r="IP294" s="29"/>
      <c r="IQ294" s="29"/>
      <c r="IR294" s="29"/>
      <c r="IS294" s="29" t="s">
        <v>458</v>
      </c>
      <c r="IT294" s="29"/>
      <c r="IU294" s="29"/>
      <c r="IV294" s="29"/>
    </row>
    <row r="295" spans="1:6" s="469" customFormat="1" ht="24.75" customHeight="1">
      <c r="A295" s="1659" t="str">
        <f>A265</f>
        <v>經濟部水利署第十河川局</v>
      </c>
      <c r="B295" s="1659"/>
      <c r="C295" s="1659"/>
      <c r="D295" s="1659"/>
      <c r="E295" s="1659"/>
      <c r="F295" s="1659"/>
    </row>
    <row r="296" spans="1:6" s="469" customFormat="1" ht="24.75" customHeight="1">
      <c r="A296" s="1659" t="str">
        <f>A266</f>
        <v>工程數量計算表(乙)－橋樑工程</v>
      </c>
      <c r="B296" s="1659"/>
      <c r="C296" s="1659"/>
      <c r="D296" s="1659"/>
      <c r="E296" s="1659"/>
      <c r="F296" s="1659"/>
    </row>
    <row r="297" spans="1:6" s="469" customFormat="1" ht="24.75" customHeight="1">
      <c r="A297" s="1658" t="str">
        <f>A267</f>
        <v>工程名稱:基隆河整體治理計劃（前期計劃）瑞芳區塊介壽橋下游左右岸護岸工程</v>
      </c>
      <c r="B297" s="1658"/>
      <c r="C297" s="1658"/>
      <c r="D297" s="1658"/>
      <c r="E297" s="1658"/>
      <c r="F297" s="1658"/>
    </row>
    <row r="298" spans="1:6" s="469" customFormat="1" ht="24.75" customHeight="1" thickBot="1">
      <c r="A298" s="1660" t="str">
        <f>A268</f>
        <v>施工地點：台北縣瑞芳鎮</v>
      </c>
      <c r="B298" s="1660"/>
      <c r="C298" s="1660"/>
      <c r="D298" s="501"/>
      <c r="E298" s="1661" t="s">
        <v>32</v>
      </c>
      <c r="F298" s="1661"/>
    </row>
    <row r="299" spans="1:6" s="469" customFormat="1" ht="24" customHeight="1">
      <c r="A299" s="497" t="s">
        <v>478</v>
      </c>
      <c r="B299" s="498" t="s">
        <v>442</v>
      </c>
      <c r="C299" s="498" t="s">
        <v>439</v>
      </c>
      <c r="D299" s="498" t="s">
        <v>479</v>
      </c>
      <c r="E299" s="499" t="s">
        <v>440</v>
      </c>
      <c r="F299" s="500" t="s">
        <v>423</v>
      </c>
    </row>
    <row r="300" spans="1:6" ht="24" customHeight="1">
      <c r="A300" s="502">
        <v>22</v>
      </c>
      <c r="B300" s="402" t="str">
        <f>'單價分析表'!D809</f>
        <v>填縫劑</v>
      </c>
      <c r="C300" s="279" t="str">
        <f>'單價分析表'!H809</f>
        <v>CM3</v>
      </c>
      <c r="D300" s="441">
        <v>9066.65</v>
      </c>
      <c r="E300" s="242">
        <f>9066.65+3289.8</f>
        <v>12356</v>
      </c>
      <c r="F300" s="471" t="s">
        <v>279</v>
      </c>
    </row>
    <row r="301" spans="1:6" ht="24.75" customHeight="1">
      <c r="A301" s="502"/>
      <c r="B301" s="402"/>
      <c r="C301" s="279"/>
      <c r="D301" s="441">
        <v>3289.8</v>
      </c>
      <c r="E301" s="242"/>
      <c r="F301" s="1226" t="s">
        <v>293</v>
      </c>
    </row>
    <row r="302" spans="1:6" ht="24.75" customHeight="1">
      <c r="A302" s="502"/>
      <c r="B302" s="402"/>
      <c r="C302" s="279"/>
      <c r="D302" s="441"/>
      <c r="E302" s="242"/>
      <c r="F302" s="1226"/>
    </row>
    <row r="303" spans="1:6" ht="24.75" customHeight="1">
      <c r="A303" s="502">
        <v>23</v>
      </c>
      <c r="B303" s="402" t="str">
        <f>'單價分析表'!D827</f>
        <v>填縫版</v>
      </c>
      <c r="C303" s="279" t="str">
        <f>'單價分析表'!H827</f>
        <v>M2</v>
      </c>
      <c r="D303" s="441">
        <v>15.59</v>
      </c>
      <c r="E303" s="242">
        <f>15.59+1.33</f>
        <v>17</v>
      </c>
      <c r="F303" s="1226" t="s">
        <v>282</v>
      </c>
    </row>
    <row r="304" spans="1:6" ht="24.75" customHeight="1">
      <c r="A304" s="502"/>
      <c r="B304" s="402"/>
      <c r="C304" s="279"/>
      <c r="D304" s="441">
        <v>1.33</v>
      </c>
      <c r="E304" s="242"/>
      <c r="F304" s="1226" t="s">
        <v>291</v>
      </c>
    </row>
    <row r="305" spans="1:6" ht="24.75" customHeight="1">
      <c r="A305" s="502"/>
      <c r="B305" s="402"/>
      <c r="C305" s="279"/>
      <c r="D305" s="441"/>
      <c r="E305" s="242"/>
      <c r="F305" s="1226"/>
    </row>
    <row r="306" spans="1:6" ht="24.75" customHeight="1">
      <c r="A306" s="502">
        <v>24</v>
      </c>
      <c r="B306" s="402" t="str">
        <f>'單價分析表'!D840</f>
        <v>350kg/cm^2預拌混凝土'G≦1",S=4"</v>
      </c>
      <c r="C306" s="279" t="str">
        <f>'單價分析表'!H840</f>
        <v>m3</v>
      </c>
      <c r="D306" s="441">
        <v>85.18</v>
      </c>
      <c r="E306" s="242">
        <f>85.18+2.46</f>
        <v>88</v>
      </c>
      <c r="F306" s="471" t="s">
        <v>295</v>
      </c>
    </row>
    <row r="307" spans="1:6" ht="24.75" customHeight="1">
      <c r="A307" s="502"/>
      <c r="B307" s="402"/>
      <c r="C307" s="279"/>
      <c r="D307" s="441">
        <v>2.46</v>
      </c>
      <c r="E307" s="242"/>
      <c r="F307" s="471" t="s">
        <v>296</v>
      </c>
    </row>
    <row r="308" spans="1:6" ht="24.75" customHeight="1">
      <c r="A308" s="502"/>
      <c r="B308" s="402"/>
      <c r="C308" s="402"/>
      <c r="D308" s="441"/>
      <c r="E308" s="242"/>
      <c r="F308" s="1226"/>
    </row>
    <row r="309" spans="1:6" ht="24.75" customHeight="1">
      <c r="A309" s="502">
        <v>25</v>
      </c>
      <c r="B309" s="402" t="str">
        <f>'單價分析表'!D858</f>
        <v>橡膠支承墊</v>
      </c>
      <c r="C309" s="402" t="str">
        <f>'單價分析表'!E870</f>
        <v>cm3</v>
      </c>
      <c r="D309" s="441"/>
      <c r="E309" s="242">
        <v>68400</v>
      </c>
      <c r="F309" s="1226"/>
    </row>
    <row r="310" spans="1:6" ht="24.75" customHeight="1">
      <c r="A310" s="502"/>
      <c r="B310" s="402"/>
      <c r="C310" s="402"/>
      <c r="D310" s="441"/>
      <c r="E310" s="242"/>
      <c r="F310" s="1226"/>
    </row>
    <row r="311" spans="1:6" ht="24.75" customHeight="1">
      <c r="A311" s="502"/>
      <c r="B311" s="402"/>
      <c r="C311" s="402"/>
      <c r="D311" s="441"/>
      <c r="E311" s="242"/>
      <c r="F311" s="1226"/>
    </row>
    <row r="312" spans="1:6" ht="24.75" customHeight="1">
      <c r="A312" s="502"/>
      <c r="B312" s="402"/>
      <c r="C312" s="402"/>
      <c r="D312" s="441"/>
      <c r="E312" s="242"/>
      <c r="F312" s="1226"/>
    </row>
    <row r="313" spans="1:6" ht="24.75" customHeight="1">
      <c r="A313" s="502"/>
      <c r="B313" s="402"/>
      <c r="C313" s="402"/>
      <c r="D313" s="441"/>
      <c r="E313" s="242"/>
      <c r="F313" s="1226"/>
    </row>
    <row r="314" spans="1:6" ht="24.75" customHeight="1">
      <c r="A314" s="502"/>
      <c r="B314" s="402"/>
      <c r="C314" s="402"/>
      <c r="D314" s="441"/>
      <c r="E314" s="242"/>
      <c r="F314" s="1226"/>
    </row>
    <row r="315" spans="1:6" ht="24.75" customHeight="1">
      <c r="A315" s="502"/>
      <c r="B315" s="402"/>
      <c r="C315" s="402"/>
      <c r="D315" s="441"/>
      <c r="E315" s="242"/>
      <c r="F315" s="1226"/>
    </row>
    <row r="316" spans="1:6" ht="24.75" customHeight="1">
      <c r="A316" s="502"/>
      <c r="B316" s="402"/>
      <c r="C316" s="402"/>
      <c r="D316" s="441"/>
      <c r="E316" s="242"/>
      <c r="F316" s="1226"/>
    </row>
    <row r="317" spans="1:6" ht="24.75" customHeight="1">
      <c r="A317" s="502"/>
      <c r="B317" s="402"/>
      <c r="C317" s="402"/>
      <c r="D317" s="441"/>
      <c r="E317" s="242"/>
      <c r="F317" s="1226"/>
    </row>
    <row r="318" spans="1:6" ht="24.75" customHeight="1">
      <c r="A318" s="502"/>
      <c r="B318" s="402"/>
      <c r="C318" s="402"/>
      <c r="D318" s="441"/>
      <c r="E318" s="242"/>
      <c r="F318" s="1226"/>
    </row>
    <row r="319" spans="1:6" ht="24.75" customHeight="1">
      <c r="A319" s="502"/>
      <c r="B319" s="402"/>
      <c r="C319" s="402"/>
      <c r="D319" s="441"/>
      <c r="E319" s="242"/>
      <c r="F319" s="1226"/>
    </row>
    <row r="320" spans="1:6" ht="24.75" customHeight="1">
      <c r="A320" s="502"/>
      <c r="B320" s="402"/>
      <c r="C320" s="402"/>
      <c r="D320" s="441"/>
      <c r="E320" s="242"/>
      <c r="F320" s="1226"/>
    </row>
    <row r="321" spans="1:6" ht="24.75" customHeight="1" thickBot="1">
      <c r="A321" s="863"/>
      <c r="B321" s="1216"/>
      <c r="C321" s="734"/>
      <c r="D321" s="864"/>
      <c r="E321" s="735"/>
      <c r="F321" s="1302"/>
    </row>
    <row r="322" spans="1:256" s="469" customFormat="1" ht="24.75" customHeight="1">
      <c r="A322" s="844"/>
      <c r="B322" s="845"/>
      <c r="C322" s="846"/>
      <c r="D322" s="847"/>
      <c r="E322" s="848"/>
      <c r="F322" s="849"/>
      <c r="G322" s="850"/>
      <c r="H322" s="851"/>
      <c r="I322" s="844"/>
      <c r="J322" s="845"/>
      <c r="K322" s="846"/>
      <c r="L322" s="847"/>
      <c r="M322" s="848"/>
      <c r="N322" s="849"/>
      <c r="O322" s="850"/>
      <c r="P322" s="851"/>
      <c r="Q322" s="844"/>
      <c r="R322" s="845"/>
      <c r="S322" s="846"/>
      <c r="T322" s="847"/>
      <c r="U322" s="848"/>
      <c r="V322" s="849"/>
      <c r="W322" s="850"/>
      <c r="X322" s="851"/>
      <c r="Y322" s="844"/>
      <c r="Z322" s="845"/>
      <c r="AA322" s="846"/>
      <c r="AB322" s="847"/>
      <c r="AC322" s="848"/>
      <c r="AD322" s="849"/>
      <c r="AE322" s="850"/>
      <c r="AF322" s="851"/>
      <c r="AG322" s="844"/>
      <c r="AH322" s="845"/>
      <c r="AI322" s="846"/>
      <c r="AJ322" s="847"/>
      <c r="AK322" s="848"/>
      <c r="AL322" s="849"/>
      <c r="AM322" s="850"/>
      <c r="AN322" s="851"/>
      <c r="AO322" s="844"/>
      <c r="AP322" s="845"/>
      <c r="AQ322" s="846"/>
      <c r="AR322" s="847"/>
      <c r="AS322" s="848"/>
      <c r="AT322" s="849"/>
      <c r="AU322" s="850"/>
      <c r="AV322" s="851"/>
      <c r="AW322" s="844"/>
      <c r="AX322" s="845"/>
      <c r="AY322" s="846"/>
      <c r="AZ322" s="847"/>
      <c r="BA322" s="848"/>
      <c r="BB322" s="849"/>
      <c r="BC322" s="850"/>
      <c r="BD322" s="851"/>
      <c r="BE322" s="844"/>
      <c r="BF322" s="845"/>
      <c r="BG322" s="846"/>
      <c r="BH322" s="847"/>
      <c r="BI322" s="848"/>
      <c r="BJ322" s="849"/>
      <c r="BK322" s="850"/>
      <c r="BL322" s="851"/>
      <c r="BM322" s="844"/>
      <c r="BN322" s="845"/>
      <c r="BO322" s="846"/>
      <c r="BP322" s="847"/>
      <c r="BQ322" s="848"/>
      <c r="BR322" s="849"/>
      <c r="BS322" s="850"/>
      <c r="BT322" s="851"/>
      <c r="BU322" s="844"/>
      <c r="BV322" s="845"/>
      <c r="BW322" s="846"/>
      <c r="BX322" s="847"/>
      <c r="BY322" s="848"/>
      <c r="BZ322" s="849"/>
      <c r="CA322" s="850"/>
      <c r="CB322" s="851"/>
      <c r="CC322" s="844"/>
      <c r="CD322" s="845"/>
      <c r="CE322" s="846"/>
      <c r="CF322" s="847"/>
      <c r="CG322" s="848"/>
      <c r="CH322" s="849"/>
      <c r="CI322" s="850"/>
      <c r="CJ322" s="851"/>
      <c r="CK322" s="844"/>
      <c r="CL322" s="845"/>
      <c r="CM322" s="846"/>
      <c r="CN322" s="847"/>
      <c r="CO322" s="848"/>
      <c r="CP322" s="849"/>
      <c r="CQ322" s="850"/>
      <c r="CR322" s="851"/>
      <c r="CS322" s="844"/>
      <c r="CT322" s="845"/>
      <c r="CU322" s="846"/>
      <c r="CV322" s="847"/>
      <c r="CW322" s="848"/>
      <c r="CX322" s="849"/>
      <c r="CY322" s="850"/>
      <c r="CZ322" s="851"/>
      <c r="DA322" s="844"/>
      <c r="DB322" s="845"/>
      <c r="DC322" s="846"/>
      <c r="DD322" s="847"/>
      <c r="DE322" s="848"/>
      <c r="DF322" s="849"/>
      <c r="DG322" s="850"/>
      <c r="DH322" s="851"/>
      <c r="DI322" s="844"/>
      <c r="DJ322" s="845"/>
      <c r="DK322" s="846"/>
      <c r="DL322" s="847"/>
      <c r="DM322" s="848"/>
      <c r="DN322" s="849"/>
      <c r="DO322" s="850"/>
      <c r="DP322" s="851"/>
      <c r="DQ322" s="844"/>
      <c r="DR322" s="845"/>
      <c r="DS322" s="846"/>
      <c r="DT322" s="847"/>
      <c r="DU322" s="848"/>
      <c r="DV322" s="849"/>
      <c r="DW322" s="850"/>
      <c r="DX322" s="851"/>
      <c r="DY322" s="844"/>
      <c r="DZ322" s="845"/>
      <c r="EA322" s="846"/>
      <c r="EB322" s="847"/>
      <c r="EC322" s="848"/>
      <c r="ED322" s="849"/>
      <c r="EE322" s="850"/>
      <c r="EF322" s="851"/>
      <c r="EG322" s="844"/>
      <c r="EH322" s="845"/>
      <c r="EI322" s="846"/>
      <c r="EJ322" s="847"/>
      <c r="EK322" s="848"/>
      <c r="EL322" s="849"/>
      <c r="EM322" s="850"/>
      <c r="EN322" s="851"/>
      <c r="EO322" s="844"/>
      <c r="EP322" s="845"/>
      <c r="EQ322" s="846"/>
      <c r="ER322" s="847"/>
      <c r="ES322" s="848"/>
      <c r="ET322" s="849"/>
      <c r="EU322" s="850"/>
      <c r="EV322" s="851"/>
      <c r="EW322" s="844"/>
      <c r="EX322" s="845"/>
      <c r="EY322" s="846"/>
      <c r="EZ322" s="847"/>
      <c r="FA322" s="848"/>
      <c r="FB322" s="849"/>
      <c r="FC322" s="850"/>
      <c r="FD322" s="851"/>
      <c r="FE322" s="844"/>
      <c r="FF322" s="845"/>
      <c r="FG322" s="846"/>
      <c r="FH322" s="847"/>
      <c r="FI322" s="848"/>
      <c r="FJ322" s="849"/>
      <c r="FK322" s="850"/>
      <c r="FL322" s="851"/>
      <c r="FM322" s="844"/>
      <c r="FN322" s="845"/>
      <c r="FO322" s="846"/>
      <c r="FP322" s="847"/>
      <c r="FQ322" s="848"/>
      <c r="FR322" s="849"/>
      <c r="FS322" s="850"/>
      <c r="FT322" s="851"/>
      <c r="FU322" s="844"/>
      <c r="FV322" s="845"/>
      <c r="FW322" s="846"/>
      <c r="FX322" s="847"/>
      <c r="FY322" s="848"/>
      <c r="FZ322" s="849"/>
      <c r="GA322" s="850"/>
      <c r="GB322" s="851"/>
      <c r="GC322" s="844"/>
      <c r="GD322" s="845"/>
      <c r="GE322" s="846"/>
      <c r="GF322" s="847"/>
      <c r="GG322" s="848"/>
      <c r="GH322" s="849"/>
      <c r="GI322" s="850"/>
      <c r="GJ322" s="851"/>
      <c r="GK322" s="844"/>
      <c r="GL322" s="845"/>
      <c r="GM322" s="846"/>
      <c r="GN322" s="847"/>
      <c r="GO322" s="848"/>
      <c r="GP322" s="849"/>
      <c r="GQ322" s="850"/>
      <c r="GR322" s="851"/>
      <c r="GS322" s="844"/>
      <c r="GT322" s="845"/>
      <c r="GU322" s="846"/>
      <c r="GV322" s="847"/>
      <c r="GW322" s="848"/>
      <c r="GX322" s="849"/>
      <c r="GY322" s="850"/>
      <c r="GZ322" s="851"/>
      <c r="HA322" s="844"/>
      <c r="HB322" s="845"/>
      <c r="HC322" s="846"/>
      <c r="HD322" s="847"/>
      <c r="HE322" s="848"/>
      <c r="HF322" s="849"/>
      <c r="HG322" s="850"/>
      <c r="HH322" s="851"/>
      <c r="HI322" s="844"/>
      <c r="HJ322" s="845"/>
      <c r="HK322" s="846"/>
      <c r="HL322" s="847"/>
      <c r="HM322" s="848"/>
      <c r="HN322" s="849"/>
      <c r="HO322" s="850"/>
      <c r="HP322" s="851"/>
      <c r="HQ322" s="844"/>
      <c r="HR322" s="845"/>
      <c r="HS322" s="846"/>
      <c r="HT322" s="847"/>
      <c r="HU322" s="848"/>
      <c r="HV322" s="849"/>
      <c r="HW322" s="850"/>
      <c r="HX322" s="851"/>
      <c r="HY322" s="844"/>
      <c r="HZ322" s="845"/>
      <c r="IA322" s="846"/>
      <c r="IB322" s="847"/>
      <c r="IC322" s="848"/>
      <c r="ID322" s="849"/>
      <c r="IE322" s="850"/>
      <c r="IF322" s="851"/>
      <c r="IG322" s="844"/>
      <c r="IH322" s="845"/>
      <c r="II322" s="846"/>
      <c r="IJ322" s="847"/>
      <c r="IK322" s="848"/>
      <c r="IL322" s="849"/>
      <c r="IM322" s="850"/>
      <c r="IN322" s="851"/>
      <c r="IO322" s="844"/>
      <c r="IP322" s="845"/>
      <c r="IQ322" s="846"/>
      <c r="IR322" s="847"/>
      <c r="IS322" s="848"/>
      <c r="IT322" s="849"/>
      <c r="IU322" s="850"/>
      <c r="IV322" s="851"/>
    </row>
    <row r="323" spans="1:256" s="469" customFormat="1" ht="24.75" customHeight="1">
      <c r="A323" s="29" t="s">
        <v>457</v>
      </c>
      <c r="B323" s="29"/>
      <c r="C323" s="29"/>
      <c r="D323" s="29"/>
      <c r="E323" s="29" t="s">
        <v>458</v>
      </c>
      <c r="F323" s="29"/>
      <c r="G323" s="29"/>
      <c r="H323" s="29"/>
      <c r="I323" s="29" t="s">
        <v>457</v>
      </c>
      <c r="J323" s="29"/>
      <c r="K323" s="29"/>
      <c r="L323" s="29"/>
      <c r="M323" s="29" t="s">
        <v>458</v>
      </c>
      <c r="N323" s="29"/>
      <c r="O323" s="29"/>
      <c r="P323" s="29"/>
      <c r="Q323" s="29" t="s">
        <v>457</v>
      </c>
      <c r="R323" s="29"/>
      <c r="S323" s="29"/>
      <c r="T323" s="29"/>
      <c r="U323" s="29" t="s">
        <v>458</v>
      </c>
      <c r="V323" s="29"/>
      <c r="W323" s="29"/>
      <c r="X323" s="29"/>
      <c r="Y323" s="29" t="s">
        <v>457</v>
      </c>
      <c r="Z323" s="29"/>
      <c r="AA323" s="29"/>
      <c r="AB323" s="29"/>
      <c r="AC323" s="29" t="s">
        <v>458</v>
      </c>
      <c r="AD323" s="29"/>
      <c r="AE323" s="29"/>
      <c r="AF323" s="29"/>
      <c r="AG323" s="29" t="s">
        <v>457</v>
      </c>
      <c r="AH323" s="29"/>
      <c r="AI323" s="29"/>
      <c r="AJ323" s="29"/>
      <c r="AK323" s="29" t="s">
        <v>458</v>
      </c>
      <c r="AL323" s="29"/>
      <c r="AM323" s="29"/>
      <c r="AN323" s="29"/>
      <c r="AO323" s="29" t="s">
        <v>457</v>
      </c>
      <c r="AP323" s="29"/>
      <c r="AQ323" s="29"/>
      <c r="AR323" s="29"/>
      <c r="AS323" s="29" t="s">
        <v>458</v>
      </c>
      <c r="AT323" s="29"/>
      <c r="AU323" s="29"/>
      <c r="AV323" s="29"/>
      <c r="AW323" s="29" t="s">
        <v>457</v>
      </c>
      <c r="AX323" s="29"/>
      <c r="AY323" s="29"/>
      <c r="AZ323" s="29"/>
      <c r="BA323" s="29" t="s">
        <v>458</v>
      </c>
      <c r="BB323" s="29"/>
      <c r="BC323" s="29"/>
      <c r="BD323" s="29"/>
      <c r="BE323" s="29" t="s">
        <v>457</v>
      </c>
      <c r="BF323" s="29"/>
      <c r="BG323" s="29"/>
      <c r="BH323" s="29"/>
      <c r="BI323" s="29" t="s">
        <v>458</v>
      </c>
      <c r="BJ323" s="29"/>
      <c r="BK323" s="29"/>
      <c r="BL323" s="29"/>
      <c r="BM323" s="29" t="s">
        <v>457</v>
      </c>
      <c r="BN323" s="29"/>
      <c r="BO323" s="29"/>
      <c r="BP323" s="29"/>
      <c r="BQ323" s="29" t="s">
        <v>458</v>
      </c>
      <c r="BR323" s="29"/>
      <c r="BS323" s="29"/>
      <c r="BT323" s="29"/>
      <c r="BU323" s="29" t="s">
        <v>457</v>
      </c>
      <c r="BV323" s="29"/>
      <c r="BW323" s="29"/>
      <c r="BX323" s="29"/>
      <c r="BY323" s="29" t="s">
        <v>458</v>
      </c>
      <c r="BZ323" s="29"/>
      <c r="CA323" s="29"/>
      <c r="CB323" s="29"/>
      <c r="CC323" s="29" t="s">
        <v>457</v>
      </c>
      <c r="CD323" s="29"/>
      <c r="CE323" s="29"/>
      <c r="CF323" s="29"/>
      <c r="CG323" s="29" t="s">
        <v>458</v>
      </c>
      <c r="CH323" s="29"/>
      <c r="CI323" s="29"/>
      <c r="CJ323" s="29"/>
      <c r="CK323" s="29" t="s">
        <v>457</v>
      </c>
      <c r="CL323" s="29"/>
      <c r="CM323" s="29"/>
      <c r="CN323" s="29"/>
      <c r="CO323" s="29" t="s">
        <v>458</v>
      </c>
      <c r="CP323" s="29"/>
      <c r="CQ323" s="29"/>
      <c r="CR323" s="29"/>
      <c r="CS323" s="29" t="s">
        <v>457</v>
      </c>
      <c r="CT323" s="29"/>
      <c r="CU323" s="29"/>
      <c r="CV323" s="29"/>
      <c r="CW323" s="29" t="s">
        <v>458</v>
      </c>
      <c r="CX323" s="29"/>
      <c r="CY323" s="29"/>
      <c r="CZ323" s="29"/>
      <c r="DA323" s="29" t="s">
        <v>457</v>
      </c>
      <c r="DB323" s="29"/>
      <c r="DC323" s="29"/>
      <c r="DD323" s="29"/>
      <c r="DE323" s="29" t="s">
        <v>458</v>
      </c>
      <c r="DF323" s="29"/>
      <c r="DG323" s="29"/>
      <c r="DH323" s="29"/>
      <c r="DI323" s="29" t="s">
        <v>457</v>
      </c>
      <c r="DJ323" s="29"/>
      <c r="DK323" s="29"/>
      <c r="DL323" s="29"/>
      <c r="DM323" s="29" t="s">
        <v>458</v>
      </c>
      <c r="DN323" s="29"/>
      <c r="DO323" s="29"/>
      <c r="DP323" s="29"/>
      <c r="DQ323" s="29" t="s">
        <v>457</v>
      </c>
      <c r="DR323" s="29"/>
      <c r="DS323" s="29"/>
      <c r="DT323" s="29"/>
      <c r="DU323" s="29" t="s">
        <v>458</v>
      </c>
      <c r="DV323" s="29"/>
      <c r="DW323" s="29"/>
      <c r="DX323" s="29"/>
      <c r="DY323" s="29" t="s">
        <v>457</v>
      </c>
      <c r="DZ323" s="29"/>
      <c r="EA323" s="29"/>
      <c r="EB323" s="29"/>
      <c r="EC323" s="29" t="s">
        <v>458</v>
      </c>
      <c r="ED323" s="29"/>
      <c r="EE323" s="29"/>
      <c r="EF323" s="29"/>
      <c r="EG323" s="29" t="s">
        <v>457</v>
      </c>
      <c r="EH323" s="29"/>
      <c r="EI323" s="29"/>
      <c r="EJ323" s="29"/>
      <c r="EK323" s="29" t="s">
        <v>458</v>
      </c>
      <c r="EL323" s="29"/>
      <c r="EM323" s="29"/>
      <c r="EN323" s="29"/>
      <c r="EO323" s="29" t="s">
        <v>457</v>
      </c>
      <c r="EP323" s="29"/>
      <c r="EQ323" s="29"/>
      <c r="ER323" s="29"/>
      <c r="ES323" s="29" t="s">
        <v>458</v>
      </c>
      <c r="ET323" s="29"/>
      <c r="EU323" s="29"/>
      <c r="EV323" s="29"/>
      <c r="EW323" s="29" t="s">
        <v>457</v>
      </c>
      <c r="EX323" s="29"/>
      <c r="EY323" s="29"/>
      <c r="EZ323" s="29"/>
      <c r="FA323" s="29" t="s">
        <v>458</v>
      </c>
      <c r="FB323" s="29"/>
      <c r="FC323" s="29"/>
      <c r="FD323" s="29"/>
      <c r="FE323" s="29" t="s">
        <v>457</v>
      </c>
      <c r="FF323" s="29"/>
      <c r="FG323" s="29"/>
      <c r="FH323" s="29"/>
      <c r="FI323" s="29" t="s">
        <v>458</v>
      </c>
      <c r="FJ323" s="29"/>
      <c r="FK323" s="29"/>
      <c r="FL323" s="29"/>
      <c r="FM323" s="29" t="s">
        <v>457</v>
      </c>
      <c r="FN323" s="29"/>
      <c r="FO323" s="29"/>
      <c r="FP323" s="29"/>
      <c r="FQ323" s="29" t="s">
        <v>458</v>
      </c>
      <c r="FR323" s="29"/>
      <c r="FS323" s="29"/>
      <c r="FT323" s="29"/>
      <c r="FU323" s="29" t="s">
        <v>457</v>
      </c>
      <c r="FV323" s="29"/>
      <c r="FW323" s="29"/>
      <c r="FX323" s="29"/>
      <c r="FY323" s="29" t="s">
        <v>458</v>
      </c>
      <c r="FZ323" s="29"/>
      <c r="GA323" s="29"/>
      <c r="GB323" s="29"/>
      <c r="GC323" s="29" t="s">
        <v>457</v>
      </c>
      <c r="GD323" s="29"/>
      <c r="GE323" s="29"/>
      <c r="GF323" s="29"/>
      <c r="GG323" s="29" t="s">
        <v>458</v>
      </c>
      <c r="GH323" s="29"/>
      <c r="GI323" s="29"/>
      <c r="GJ323" s="29"/>
      <c r="GK323" s="29" t="s">
        <v>457</v>
      </c>
      <c r="GL323" s="29"/>
      <c r="GM323" s="29"/>
      <c r="GN323" s="29"/>
      <c r="GO323" s="29" t="s">
        <v>458</v>
      </c>
      <c r="GP323" s="29"/>
      <c r="GQ323" s="29"/>
      <c r="GR323" s="29"/>
      <c r="GS323" s="29" t="s">
        <v>457</v>
      </c>
      <c r="GT323" s="29"/>
      <c r="GU323" s="29"/>
      <c r="GV323" s="29"/>
      <c r="GW323" s="29" t="s">
        <v>458</v>
      </c>
      <c r="GX323" s="29"/>
      <c r="GY323" s="29"/>
      <c r="GZ323" s="29"/>
      <c r="HA323" s="29" t="s">
        <v>457</v>
      </c>
      <c r="HB323" s="29"/>
      <c r="HC323" s="29"/>
      <c r="HD323" s="29"/>
      <c r="HE323" s="29" t="s">
        <v>458</v>
      </c>
      <c r="HF323" s="29"/>
      <c r="HG323" s="29"/>
      <c r="HH323" s="29"/>
      <c r="HI323" s="29" t="s">
        <v>457</v>
      </c>
      <c r="HJ323" s="29"/>
      <c r="HK323" s="29"/>
      <c r="HL323" s="29"/>
      <c r="HM323" s="29" t="s">
        <v>458</v>
      </c>
      <c r="HN323" s="29"/>
      <c r="HO323" s="29"/>
      <c r="HP323" s="29"/>
      <c r="HQ323" s="29" t="s">
        <v>457</v>
      </c>
      <c r="HR323" s="29"/>
      <c r="HS323" s="29"/>
      <c r="HT323" s="29"/>
      <c r="HU323" s="29" t="s">
        <v>458</v>
      </c>
      <c r="HV323" s="29"/>
      <c r="HW323" s="29"/>
      <c r="HX323" s="29"/>
      <c r="HY323" s="29" t="s">
        <v>457</v>
      </c>
      <c r="HZ323" s="29"/>
      <c r="IA323" s="29"/>
      <c r="IB323" s="29"/>
      <c r="IC323" s="29" t="s">
        <v>458</v>
      </c>
      <c r="ID323" s="29"/>
      <c r="IE323" s="29"/>
      <c r="IF323" s="29"/>
      <c r="IG323" s="29" t="s">
        <v>457</v>
      </c>
      <c r="IH323" s="29"/>
      <c r="II323" s="29"/>
      <c r="IJ323" s="29"/>
      <c r="IK323" s="29" t="s">
        <v>458</v>
      </c>
      <c r="IL323" s="29"/>
      <c r="IM323" s="29"/>
      <c r="IN323" s="29"/>
      <c r="IO323" s="29" t="s">
        <v>457</v>
      </c>
      <c r="IP323" s="29"/>
      <c r="IQ323" s="29"/>
      <c r="IR323" s="29"/>
      <c r="IS323" s="29" t="s">
        <v>458</v>
      </c>
      <c r="IT323" s="29"/>
      <c r="IU323" s="29"/>
      <c r="IV323" s="29"/>
    </row>
    <row r="324" ht="24.75" customHeight="1">
      <c r="F324" s="222"/>
    </row>
    <row r="325" ht="24.75" customHeight="1">
      <c r="F325" s="222"/>
    </row>
    <row r="326" ht="24.75" customHeight="1">
      <c r="F326" s="222"/>
    </row>
    <row r="327" ht="24.75" customHeight="1">
      <c r="F327" s="222"/>
    </row>
    <row r="328" ht="24.75" customHeight="1">
      <c r="F328" s="222"/>
    </row>
    <row r="329" ht="24.75" customHeight="1">
      <c r="F329" s="222"/>
    </row>
    <row r="330" ht="24.75" customHeight="1">
      <c r="F330" s="222"/>
    </row>
    <row r="331" ht="24.75" customHeight="1">
      <c r="F331" s="222"/>
    </row>
    <row r="332" ht="24.75" customHeight="1">
      <c r="F332" s="222"/>
    </row>
    <row r="333" ht="24.75" customHeight="1">
      <c r="F333" s="222"/>
    </row>
    <row r="334" ht="24.75" customHeight="1">
      <c r="F334" s="222"/>
    </row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1091" ht="16.5">
      <c r="B1091" s="495" t="s">
        <v>940</v>
      </c>
    </row>
  </sheetData>
  <mergeCells count="57">
    <mergeCell ref="A266:F266"/>
    <mergeCell ref="A267:F267"/>
    <mergeCell ref="A180:C180"/>
    <mergeCell ref="E180:F180"/>
    <mergeCell ref="A235:F235"/>
    <mergeCell ref="A236:F236"/>
    <mergeCell ref="A265:F265"/>
    <mergeCell ref="A32:F32"/>
    <mergeCell ref="A33:F33"/>
    <mergeCell ref="A34:F34"/>
    <mergeCell ref="A35:C35"/>
    <mergeCell ref="E35:F35"/>
    <mergeCell ref="A61:F61"/>
    <mergeCell ref="A62:F62"/>
    <mergeCell ref="A63:F63"/>
    <mergeCell ref="A64:C64"/>
    <mergeCell ref="E64:F64"/>
    <mergeCell ref="A90:F90"/>
    <mergeCell ref="A91:F91"/>
    <mergeCell ref="A92:F92"/>
    <mergeCell ref="A93:C93"/>
    <mergeCell ref="E93:F93"/>
    <mergeCell ref="A118:F118"/>
    <mergeCell ref="A119:F119"/>
    <mergeCell ref="A120:C120"/>
    <mergeCell ref="E120:F120"/>
    <mergeCell ref="D55:D56"/>
    <mergeCell ref="A177:F177"/>
    <mergeCell ref="A178:F178"/>
    <mergeCell ref="A179:F179"/>
    <mergeCell ref="A147:F147"/>
    <mergeCell ref="A148:F148"/>
    <mergeCell ref="A149:F149"/>
    <mergeCell ref="A150:C150"/>
    <mergeCell ref="E150:F150"/>
    <mergeCell ref="A117:F117"/>
    <mergeCell ref="D28:D29"/>
    <mergeCell ref="A1:F1"/>
    <mergeCell ref="A2:F2"/>
    <mergeCell ref="A4:C4"/>
    <mergeCell ref="E4:F4"/>
    <mergeCell ref="A3:F3"/>
    <mergeCell ref="A268:C268"/>
    <mergeCell ref="E268:F268"/>
    <mergeCell ref="A206:F206"/>
    <mergeCell ref="A207:F207"/>
    <mergeCell ref="A208:F208"/>
    <mergeCell ref="A209:C209"/>
    <mergeCell ref="E209:F209"/>
    <mergeCell ref="A237:F237"/>
    <mergeCell ref="A238:C238"/>
    <mergeCell ref="E238:F238"/>
    <mergeCell ref="A297:F297"/>
    <mergeCell ref="A295:F295"/>
    <mergeCell ref="A296:F296"/>
    <mergeCell ref="A298:C298"/>
    <mergeCell ref="E298:F298"/>
  </mergeCells>
  <printOptions/>
  <pageMargins left="0.35433070866141736" right="0.29" top="0.5905511811023623" bottom="0.5905511811023623" header="0" footer="0"/>
  <pageSetup horizontalDpi="300" verticalDpi="3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9"/>
  <sheetViews>
    <sheetView tabSelected="1" view="pageBreakPreview" zoomScaleSheetLayoutView="100" workbookViewId="0" topLeftCell="P46">
      <selection activeCell="AB54" sqref="AB54"/>
    </sheetView>
  </sheetViews>
  <sheetFormatPr defaultColWidth="9.00390625" defaultRowHeight="18" customHeight="1"/>
  <cols>
    <col min="1" max="1" width="16.25390625" style="272" customWidth="1"/>
    <col min="2" max="2" width="3.75390625" style="272" customWidth="1"/>
    <col min="3" max="3" width="5.25390625" style="272" customWidth="1"/>
    <col min="4" max="4" width="5.75390625" style="311" customWidth="1"/>
    <col min="5" max="5" width="3.75390625" style="275" customWidth="1"/>
    <col min="6" max="27" width="6.125" style="272" customWidth="1"/>
    <col min="28" max="28" width="14.375" style="272" customWidth="1"/>
    <col min="29" max="16384" width="9.00390625" style="272" customWidth="1"/>
  </cols>
  <sheetData>
    <row r="1" spans="1:28" ht="24.75" customHeight="1">
      <c r="A1" s="1671" t="str">
        <f>data!K1</f>
        <v>經濟部水利署第十河川局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1671"/>
      <c r="P1" s="1671"/>
      <c r="Q1" s="1671"/>
      <c r="R1" s="1671"/>
      <c r="S1" s="1671"/>
      <c r="T1" s="1671"/>
      <c r="U1" s="1671"/>
      <c r="V1" s="1671"/>
      <c r="W1" s="1671"/>
      <c r="X1" s="1671"/>
      <c r="Y1" s="1671"/>
      <c r="Z1" s="1671"/>
      <c r="AA1" s="1671"/>
      <c r="AB1" s="1512"/>
    </row>
    <row r="2" spans="1:28" ht="19.5" customHeight="1">
      <c r="A2" s="1672" t="s">
        <v>554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672"/>
      <c r="M2" s="1672"/>
      <c r="N2" s="1672"/>
      <c r="O2" s="1672"/>
      <c r="P2" s="1672"/>
      <c r="Q2" s="1672"/>
      <c r="R2" s="1672"/>
      <c r="S2" s="1672"/>
      <c r="T2" s="1672"/>
      <c r="U2" s="1672"/>
      <c r="V2" s="1672"/>
      <c r="W2" s="1672"/>
      <c r="X2" s="1672"/>
      <c r="Y2" s="1672"/>
      <c r="Z2" s="1672"/>
      <c r="AA2" s="1672"/>
      <c r="AB2" s="1511"/>
    </row>
    <row r="3" spans="1:11" ht="16.5">
      <c r="A3" s="270" t="str">
        <f>'預算書總表'!A3</f>
        <v>工程名稱:基隆河整體治理計劃（前期計劃）瑞芳區塊介壽橋下游左右岸護岸工程</v>
      </c>
      <c r="B3" s="270"/>
      <c r="C3" s="270"/>
      <c r="D3" s="309"/>
      <c r="E3" s="270"/>
      <c r="F3" s="270"/>
      <c r="K3" s="273"/>
    </row>
    <row r="4" spans="1:28" ht="16.5">
      <c r="A4" s="271" t="str">
        <f>'第三號明細表'!A4</f>
        <v>施工地點：台北縣瑞芳鎮</v>
      </c>
      <c r="B4" s="271"/>
      <c r="C4" s="271"/>
      <c r="D4" s="1673" t="s">
        <v>1447</v>
      </c>
      <c r="E4" s="1511"/>
      <c r="F4" s="1511"/>
      <c r="G4" s="1511"/>
      <c r="H4" s="1511"/>
      <c r="I4" s="1511"/>
      <c r="J4" s="1511"/>
      <c r="K4" s="1511"/>
      <c r="L4" s="1511"/>
      <c r="M4" s="1511"/>
      <c r="N4" s="1511"/>
      <c r="O4" s="1511"/>
      <c r="P4" s="1511"/>
      <c r="Q4" s="1511"/>
      <c r="R4" s="1511"/>
      <c r="S4" s="1511"/>
      <c r="T4" s="1511"/>
      <c r="U4" s="1511"/>
      <c r="V4" s="1511"/>
      <c r="W4" s="1511"/>
      <c r="X4" s="1511"/>
      <c r="Y4" s="1511"/>
      <c r="Z4" s="1511"/>
      <c r="AA4" s="1511"/>
      <c r="AB4" s="1511"/>
    </row>
    <row r="5" spans="1:28" ht="17.25" thickBot="1">
      <c r="A5" s="271"/>
      <c r="B5" s="271"/>
      <c r="C5" s="271"/>
      <c r="D5" s="310"/>
      <c r="F5" s="252" t="s">
        <v>824</v>
      </c>
      <c r="H5" s="274"/>
      <c r="AA5" s="1304" t="s">
        <v>1337</v>
      </c>
      <c r="AB5" s="1189"/>
    </row>
    <row r="6" spans="1:28" ht="12" customHeight="1">
      <c r="A6" s="1674" t="s">
        <v>555</v>
      </c>
      <c r="B6" s="1676" t="s">
        <v>541</v>
      </c>
      <c r="C6" s="1676" t="s">
        <v>556</v>
      </c>
      <c r="D6" s="1676" t="s">
        <v>557</v>
      </c>
      <c r="E6" s="1678"/>
      <c r="F6" s="1669" t="s">
        <v>945</v>
      </c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557"/>
      <c r="W6" s="1557"/>
      <c r="X6" s="1557"/>
      <c r="Y6" s="1557"/>
      <c r="Z6" s="1557"/>
      <c r="AA6" s="1558"/>
      <c r="AB6" s="313" t="s">
        <v>558</v>
      </c>
    </row>
    <row r="7" spans="1:28" ht="12" customHeight="1">
      <c r="A7" s="1675"/>
      <c r="B7" s="1677"/>
      <c r="C7" s="1677"/>
      <c r="D7" s="1677"/>
      <c r="E7" s="1677"/>
      <c r="F7" s="1667" t="s">
        <v>1293</v>
      </c>
      <c r="G7" s="1668"/>
      <c r="H7" s="1667" t="s">
        <v>941</v>
      </c>
      <c r="I7" s="1668"/>
      <c r="J7" s="1667" t="s">
        <v>942</v>
      </c>
      <c r="K7" s="1668"/>
      <c r="L7" s="1667" t="s">
        <v>943</v>
      </c>
      <c r="M7" s="1668"/>
      <c r="N7" s="1667" t="s">
        <v>934</v>
      </c>
      <c r="O7" s="1668"/>
      <c r="P7" s="1667" t="s">
        <v>935</v>
      </c>
      <c r="Q7" s="1668"/>
      <c r="R7" s="1667" t="s">
        <v>944</v>
      </c>
      <c r="S7" s="1668"/>
      <c r="T7" s="1667" t="s">
        <v>1290</v>
      </c>
      <c r="U7" s="1668"/>
      <c r="V7" s="1667" t="s">
        <v>1291</v>
      </c>
      <c r="W7" s="1668"/>
      <c r="X7" s="1667" t="s">
        <v>1292</v>
      </c>
      <c r="Y7" s="1668"/>
      <c r="Z7" s="1667" t="s">
        <v>1294</v>
      </c>
      <c r="AA7" s="1668"/>
      <c r="AB7" s="316"/>
    </row>
    <row r="8" spans="1:28" ht="12" customHeight="1">
      <c r="A8" s="1675"/>
      <c r="B8" s="1677"/>
      <c r="C8" s="1677"/>
      <c r="D8" s="1677"/>
      <c r="E8" s="1677"/>
      <c r="F8" s="320" t="s">
        <v>563</v>
      </c>
      <c r="G8" s="320" t="s">
        <v>564</v>
      </c>
      <c r="H8" s="320" t="s">
        <v>563</v>
      </c>
      <c r="I8" s="320" t="s">
        <v>564</v>
      </c>
      <c r="J8" s="320" t="s">
        <v>563</v>
      </c>
      <c r="K8" s="320" t="s">
        <v>564</v>
      </c>
      <c r="L8" s="320" t="s">
        <v>563</v>
      </c>
      <c r="M8" s="321" t="s">
        <v>564</v>
      </c>
      <c r="N8" s="320" t="s">
        <v>563</v>
      </c>
      <c r="O8" s="321" t="s">
        <v>564</v>
      </c>
      <c r="P8" s="320" t="s">
        <v>563</v>
      </c>
      <c r="Q8" s="321" t="s">
        <v>564</v>
      </c>
      <c r="R8" s="320" t="s">
        <v>563</v>
      </c>
      <c r="S8" s="321" t="s">
        <v>564</v>
      </c>
      <c r="T8" s="320" t="s">
        <v>563</v>
      </c>
      <c r="U8" s="321" t="s">
        <v>564</v>
      </c>
      <c r="V8" s="320" t="s">
        <v>563</v>
      </c>
      <c r="W8" s="321" t="s">
        <v>564</v>
      </c>
      <c r="X8" s="320" t="s">
        <v>563</v>
      </c>
      <c r="Y8" s="321" t="s">
        <v>564</v>
      </c>
      <c r="Z8" s="1222" t="s">
        <v>1448</v>
      </c>
      <c r="AA8" s="1402" t="s">
        <v>1449</v>
      </c>
      <c r="AB8" s="316"/>
    </row>
    <row r="9" spans="1:28" ht="12" customHeight="1">
      <c r="A9" s="1675"/>
      <c r="B9" s="1677"/>
      <c r="C9" s="1677"/>
      <c r="D9" s="1677"/>
      <c r="E9" s="1677"/>
      <c r="F9" s="322"/>
      <c r="G9" s="322">
        <v>6</v>
      </c>
      <c r="H9" s="322">
        <v>20</v>
      </c>
      <c r="I9" s="322">
        <v>35</v>
      </c>
      <c r="J9" s="322">
        <v>51</v>
      </c>
      <c r="K9" s="322">
        <v>66</v>
      </c>
      <c r="L9" s="322">
        <v>81</v>
      </c>
      <c r="M9" s="322">
        <v>96</v>
      </c>
      <c r="N9" s="732">
        <v>112</v>
      </c>
      <c r="O9" s="732">
        <v>127</v>
      </c>
      <c r="P9" s="732">
        <v>142</v>
      </c>
      <c r="Q9" s="732">
        <v>157</v>
      </c>
      <c r="R9" s="732">
        <v>173</v>
      </c>
      <c r="S9" s="732">
        <v>188</v>
      </c>
      <c r="T9" s="732">
        <v>204</v>
      </c>
      <c r="U9" s="732">
        <v>219</v>
      </c>
      <c r="V9" s="732">
        <v>234</v>
      </c>
      <c r="W9" s="732">
        <v>249</v>
      </c>
      <c r="X9" s="732">
        <v>265</v>
      </c>
      <c r="Y9" s="732">
        <v>280</v>
      </c>
      <c r="Z9" s="732">
        <v>295</v>
      </c>
      <c r="AA9" s="732">
        <v>300</v>
      </c>
      <c r="AB9" s="317"/>
    </row>
    <row r="10" spans="1:28" ht="19.5" customHeight="1">
      <c r="A10" s="746" t="str">
        <f>'第一號明細表'!A7</f>
        <v>純挖方</v>
      </c>
      <c r="B10" s="409" t="str">
        <f>'第一號明細表'!C7</f>
        <v>m3</v>
      </c>
      <c r="C10" s="410">
        <f>'第一號明細表'!F7/'預算書總表'!$F$14*100</f>
        <v>0.87</v>
      </c>
      <c r="D10" s="318">
        <f>'第一號明細表'!D7</f>
        <v>43452</v>
      </c>
      <c r="E10" s="312" t="s">
        <v>400</v>
      </c>
      <c r="F10" s="323"/>
      <c r="G10" s="323"/>
      <c r="H10" s="323">
        <v>6</v>
      </c>
      <c r="I10" s="323">
        <v>12</v>
      </c>
      <c r="J10" s="323">
        <v>18</v>
      </c>
      <c r="K10" s="323">
        <v>24</v>
      </c>
      <c r="L10" s="323">
        <v>30</v>
      </c>
      <c r="M10" s="745">
        <v>36</v>
      </c>
      <c r="N10" s="745">
        <v>42</v>
      </c>
      <c r="O10" s="745">
        <v>48</v>
      </c>
      <c r="P10" s="745">
        <v>53</v>
      </c>
      <c r="Q10" s="745">
        <v>59</v>
      </c>
      <c r="R10" s="745">
        <v>64</v>
      </c>
      <c r="S10" s="745">
        <v>70</v>
      </c>
      <c r="T10" s="745">
        <v>76</v>
      </c>
      <c r="U10" s="745">
        <v>82</v>
      </c>
      <c r="V10" s="745">
        <v>88</v>
      </c>
      <c r="W10" s="745">
        <v>94</v>
      </c>
      <c r="X10" s="745">
        <v>100</v>
      </c>
      <c r="Y10" s="745">
        <v>100</v>
      </c>
      <c r="Z10" s="745">
        <v>100</v>
      </c>
      <c r="AA10" s="745">
        <v>100</v>
      </c>
      <c r="AB10" s="314"/>
    </row>
    <row r="11" spans="1:28" ht="19.5" customHeight="1">
      <c r="A11" s="746" t="str">
        <f>'第一號明細表'!A8</f>
        <v>回填方</v>
      </c>
      <c r="B11" s="409" t="str">
        <f>'第一號明細表'!C8</f>
        <v>m3</v>
      </c>
      <c r="C11" s="410">
        <f>'第一號明細表'!F8/'預算書總表'!$F$14*100</f>
        <v>0.62</v>
      </c>
      <c r="D11" s="318">
        <f>'第一號明細表'!D8</f>
        <v>30964</v>
      </c>
      <c r="E11" s="312" t="s">
        <v>400</v>
      </c>
      <c r="F11" s="323"/>
      <c r="G11" s="323"/>
      <c r="H11" s="323">
        <v>6</v>
      </c>
      <c r="I11" s="323">
        <v>12</v>
      </c>
      <c r="J11" s="323">
        <v>18</v>
      </c>
      <c r="K11" s="323">
        <v>24</v>
      </c>
      <c r="L11" s="323">
        <v>30</v>
      </c>
      <c r="M11" s="745">
        <v>36</v>
      </c>
      <c r="N11" s="745">
        <v>42</v>
      </c>
      <c r="O11" s="745">
        <v>48</v>
      </c>
      <c r="P11" s="745">
        <v>53</v>
      </c>
      <c r="Q11" s="745">
        <v>59</v>
      </c>
      <c r="R11" s="745">
        <v>64</v>
      </c>
      <c r="S11" s="745">
        <v>70</v>
      </c>
      <c r="T11" s="745">
        <v>76</v>
      </c>
      <c r="U11" s="745">
        <v>82</v>
      </c>
      <c r="V11" s="745">
        <v>88</v>
      </c>
      <c r="W11" s="745">
        <v>94</v>
      </c>
      <c r="X11" s="745">
        <v>100</v>
      </c>
      <c r="Y11" s="745">
        <v>100</v>
      </c>
      <c r="Z11" s="745">
        <v>100</v>
      </c>
      <c r="AA11" s="745">
        <v>100</v>
      </c>
      <c r="AB11" s="314"/>
    </row>
    <row r="12" spans="1:28" ht="19.5" customHeight="1">
      <c r="A12" s="746" t="str">
        <f>'第一號明細表'!A9</f>
        <v>挖填方</v>
      </c>
      <c r="B12" s="409" t="str">
        <f>'第一號明細表'!C9</f>
        <v>m3</v>
      </c>
      <c r="C12" s="410">
        <f>'第一號明細表'!F9/'預算書總表'!$F$14*100</f>
        <v>0.23</v>
      </c>
      <c r="D12" s="318">
        <f>'第一號明細表'!D9</f>
        <v>15017</v>
      </c>
      <c r="E12" s="312" t="s">
        <v>480</v>
      </c>
      <c r="F12" s="323"/>
      <c r="G12" s="323"/>
      <c r="H12" s="323">
        <v>6</v>
      </c>
      <c r="I12" s="323">
        <v>12</v>
      </c>
      <c r="J12" s="323">
        <v>18</v>
      </c>
      <c r="K12" s="323">
        <v>24</v>
      </c>
      <c r="L12" s="323">
        <v>30</v>
      </c>
      <c r="M12" s="745">
        <v>36</v>
      </c>
      <c r="N12" s="745">
        <v>42</v>
      </c>
      <c r="O12" s="745">
        <v>48</v>
      </c>
      <c r="P12" s="745">
        <v>53</v>
      </c>
      <c r="Q12" s="745">
        <v>59</v>
      </c>
      <c r="R12" s="745">
        <v>64</v>
      </c>
      <c r="S12" s="745">
        <v>70</v>
      </c>
      <c r="T12" s="745">
        <v>76</v>
      </c>
      <c r="U12" s="745">
        <v>82</v>
      </c>
      <c r="V12" s="745">
        <v>88</v>
      </c>
      <c r="W12" s="745">
        <v>94</v>
      </c>
      <c r="X12" s="745">
        <v>100</v>
      </c>
      <c r="Y12" s="745">
        <v>100</v>
      </c>
      <c r="Z12" s="745">
        <v>100</v>
      </c>
      <c r="AA12" s="745">
        <v>100</v>
      </c>
      <c r="AB12" s="314"/>
    </row>
    <row r="13" spans="1:28" ht="19.5" customHeight="1">
      <c r="A13" s="746" t="str">
        <f>'第一號明細表'!A10</f>
        <v>挖岩方</v>
      </c>
      <c r="B13" s="409" t="str">
        <f>'第一號明細表'!C10</f>
        <v>m3</v>
      </c>
      <c r="C13" s="410">
        <f>'第一號明細表'!F10/'預算書總表'!$F$14*100</f>
        <v>0.17</v>
      </c>
      <c r="D13" s="318">
        <f>'第一號明細表'!D10</f>
        <v>1800</v>
      </c>
      <c r="E13" s="312" t="s">
        <v>480</v>
      </c>
      <c r="F13" s="323"/>
      <c r="G13" s="323"/>
      <c r="H13" s="323">
        <v>6</v>
      </c>
      <c r="I13" s="323">
        <v>12</v>
      </c>
      <c r="J13" s="323">
        <v>18</v>
      </c>
      <c r="K13" s="323">
        <v>24</v>
      </c>
      <c r="L13" s="323">
        <v>30</v>
      </c>
      <c r="M13" s="745">
        <v>36</v>
      </c>
      <c r="N13" s="745">
        <v>42</v>
      </c>
      <c r="O13" s="745">
        <v>48</v>
      </c>
      <c r="P13" s="745">
        <v>53</v>
      </c>
      <c r="Q13" s="745">
        <v>59</v>
      </c>
      <c r="R13" s="745">
        <v>64</v>
      </c>
      <c r="S13" s="745">
        <v>70</v>
      </c>
      <c r="T13" s="745">
        <v>76</v>
      </c>
      <c r="U13" s="745">
        <v>82</v>
      </c>
      <c r="V13" s="745">
        <v>88</v>
      </c>
      <c r="W13" s="745">
        <v>94</v>
      </c>
      <c r="X13" s="745">
        <v>100</v>
      </c>
      <c r="Y13" s="745">
        <v>100</v>
      </c>
      <c r="Z13" s="745">
        <v>100</v>
      </c>
      <c r="AA13" s="745">
        <v>100</v>
      </c>
      <c r="AB13" s="314"/>
    </row>
    <row r="14" spans="1:28" ht="19.5" customHeight="1">
      <c r="A14" s="746" t="str">
        <f>'第一號明細表'!A11</f>
        <v>工區內土方平衡處理</v>
      </c>
      <c r="B14" s="409" t="str">
        <f>'第一號明細表'!C11</f>
        <v>m3</v>
      </c>
      <c r="C14" s="410">
        <f>'第一號明細表'!F11/'預算書總表'!$F$14*100</f>
        <v>0.29</v>
      </c>
      <c r="D14" s="318">
        <f>'第一號明細表'!D11</f>
        <v>14288</v>
      </c>
      <c r="E14" s="312" t="s">
        <v>480</v>
      </c>
      <c r="F14" s="323"/>
      <c r="G14" s="323"/>
      <c r="H14" s="323">
        <v>6</v>
      </c>
      <c r="I14" s="323">
        <v>12</v>
      </c>
      <c r="J14" s="323">
        <v>18</v>
      </c>
      <c r="K14" s="323">
        <v>24</v>
      </c>
      <c r="L14" s="323">
        <v>30</v>
      </c>
      <c r="M14" s="745">
        <v>36</v>
      </c>
      <c r="N14" s="745">
        <v>42</v>
      </c>
      <c r="O14" s="745">
        <v>48</v>
      </c>
      <c r="P14" s="745">
        <v>53</v>
      </c>
      <c r="Q14" s="745">
        <v>59</v>
      </c>
      <c r="R14" s="745">
        <v>64</v>
      </c>
      <c r="S14" s="745">
        <v>70</v>
      </c>
      <c r="T14" s="745">
        <v>76</v>
      </c>
      <c r="U14" s="745">
        <v>82</v>
      </c>
      <c r="V14" s="745">
        <v>88</v>
      </c>
      <c r="W14" s="745">
        <v>94</v>
      </c>
      <c r="X14" s="745">
        <v>100</v>
      </c>
      <c r="Y14" s="745">
        <v>100</v>
      </c>
      <c r="Z14" s="745">
        <v>100</v>
      </c>
      <c r="AA14" s="745">
        <v>100</v>
      </c>
      <c r="AB14" s="314"/>
    </row>
    <row r="15" spans="1:28" ht="19.5" customHeight="1">
      <c r="A15" s="746" t="str">
        <f>'第一號明細表'!A12</f>
        <v>210kgf/cm^2預拌混凝土   'G≦1",S=4"</v>
      </c>
      <c r="B15" s="409" t="str">
        <f>'第一號明細表'!C12</f>
        <v>m3</v>
      </c>
      <c r="C15" s="410">
        <f>'第一號明細表'!F12/'預算書總表'!$F$14*100</f>
        <v>25.34</v>
      </c>
      <c r="D15" s="318">
        <f>'第一號明細表'!D12</f>
        <v>21285</v>
      </c>
      <c r="E15" s="312" t="s">
        <v>480</v>
      </c>
      <c r="F15" s="323"/>
      <c r="G15" s="323"/>
      <c r="H15" s="323"/>
      <c r="I15" s="323"/>
      <c r="J15" s="323">
        <v>7</v>
      </c>
      <c r="K15" s="323">
        <v>14</v>
      </c>
      <c r="L15" s="323">
        <v>20</v>
      </c>
      <c r="M15" s="323">
        <v>27</v>
      </c>
      <c r="N15" s="323">
        <v>34</v>
      </c>
      <c r="O15" s="323">
        <v>40</v>
      </c>
      <c r="P15" s="745">
        <v>47</v>
      </c>
      <c r="Q15" s="745">
        <v>54</v>
      </c>
      <c r="R15" s="745">
        <v>60</v>
      </c>
      <c r="S15" s="745">
        <v>67</v>
      </c>
      <c r="T15" s="745">
        <v>74</v>
      </c>
      <c r="U15" s="745">
        <v>80</v>
      </c>
      <c r="V15" s="745">
        <v>87</v>
      </c>
      <c r="W15" s="745">
        <v>94</v>
      </c>
      <c r="X15" s="745">
        <v>100</v>
      </c>
      <c r="Y15" s="745">
        <v>100</v>
      </c>
      <c r="Z15" s="745">
        <v>100</v>
      </c>
      <c r="AA15" s="745">
        <v>100</v>
      </c>
      <c r="AB15" s="314"/>
    </row>
    <row r="16" spans="1:28" ht="19.5" customHeight="1">
      <c r="A16" s="746" t="str">
        <f>'第一號明細表'!A13</f>
        <v>140kgf/cm^2預拌混凝土 'G≦1",S=4"</v>
      </c>
      <c r="B16" s="409" t="str">
        <f>'第一號明細表'!C13</f>
        <v>m3</v>
      </c>
      <c r="C16" s="410">
        <f>'第一號明細表'!F13/'預算書總表'!$F$14*100</f>
        <v>0.69</v>
      </c>
      <c r="D16" s="318">
        <f>'第一號明細表'!D13</f>
        <v>612</v>
      </c>
      <c r="E16" s="312" t="s">
        <v>480</v>
      </c>
      <c r="F16" s="323"/>
      <c r="G16" s="323"/>
      <c r="H16" s="323"/>
      <c r="I16" s="323"/>
      <c r="J16" s="323">
        <v>8</v>
      </c>
      <c r="K16" s="323">
        <v>16</v>
      </c>
      <c r="L16" s="323">
        <v>23</v>
      </c>
      <c r="M16" s="323">
        <v>31</v>
      </c>
      <c r="N16" s="323">
        <v>39</v>
      </c>
      <c r="O16" s="323">
        <v>46</v>
      </c>
      <c r="P16" s="745">
        <v>54</v>
      </c>
      <c r="Q16" s="745">
        <v>62</v>
      </c>
      <c r="R16" s="745">
        <v>69</v>
      </c>
      <c r="S16" s="745">
        <v>77</v>
      </c>
      <c r="T16" s="745">
        <v>85</v>
      </c>
      <c r="U16" s="745">
        <v>93</v>
      </c>
      <c r="V16" s="745">
        <v>100</v>
      </c>
      <c r="W16" s="745">
        <v>100</v>
      </c>
      <c r="X16" s="745">
        <v>100</v>
      </c>
      <c r="Y16" s="745">
        <v>100</v>
      </c>
      <c r="Z16" s="745">
        <v>100</v>
      </c>
      <c r="AA16" s="745">
        <v>100</v>
      </c>
      <c r="AB16" s="314"/>
    </row>
    <row r="17" spans="1:28" ht="19.5" customHeight="1">
      <c r="A17" s="746" t="str">
        <f>'第一號明細表'!A14</f>
        <v>甲種模型損耗</v>
      </c>
      <c r="B17" s="409" t="str">
        <f>'第一號明細表'!C14</f>
        <v>m2</v>
      </c>
      <c r="C17" s="410">
        <f>'第一號明細表'!F14/'預算書總表'!$F$14*100</f>
        <v>2.93</v>
      </c>
      <c r="D17" s="318">
        <f>'第一號明細表'!D14</f>
        <v>12356</v>
      </c>
      <c r="E17" s="312" t="s">
        <v>480</v>
      </c>
      <c r="F17" s="323"/>
      <c r="G17" s="323"/>
      <c r="H17" s="323"/>
      <c r="I17" s="323"/>
      <c r="J17" s="323">
        <v>8</v>
      </c>
      <c r="K17" s="323">
        <v>16</v>
      </c>
      <c r="L17" s="323">
        <v>23</v>
      </c>
      <c r="M17" s="323">
        <v>31</v>
      </c>
      <c r="N17" s="323">
        <v>39</v>
      </c>
      <c r="O17" s="323">
        <v>46</v>
      </c>
      <c r="P17" s="745">
        <v>54</v>
      </c>
      <c r="Q17" s="745">
        <v>62</v>
      </c>
      <c r="R17" s="745">
        <v>69</v>
      </c>
      <c r="S17" s="745">
        <v>77</v>
      </c>
      <c r="T17" s="745">
        <v>85</v>
      </c>
      <c r="U17" s="745">
        <v>93</v>
      </c>
      <c r="V17" s="745">
        <v>100</v>
      </c>
      <c r="W17" s="745">
        <v>100</v>
      </c>
      <c r="X17" s="745">
        <v>100</v>
      </c>
      <c r="Y17" s="745">
        <v>100</v>
      </c>
      <c r="Z17" s="745">
        <v>100</v>
      </c>
      <c r="AA17" s="745">
        <v>100</v>
      </c>
      <c r="AB17" s="314"/>
    </row>
    <row r="18" spans="1:28" ht="19.5" customHeight="1">
      <c r="A18" s="746" t="str">
        <f>'第一號明細表'!A15</f>
        <v>乙種模型損耗(基礎用)</v>
      </c>
      <c r="B18" s="409" t="str">
        <f>'第一號明細表'!C15</f>
        <v>m2</v>
      </c>
      <c r="C18" s="410">
        <f>'第一號明細表'!F15/'預算書總表'!$F$14*100</f>
        <v>0.59</v>
      </c>
      <c r="D18" s="318">
        <f>'第一號明細表'!D15</f>
        <v>3515</v>
      </c>
      <c r="E18" s="312" t="s">
        <v>480</v>
      </c>
      <c r="F18" s="323"/>
      <c r="G18" s="323"/>
      <c r="H18" s="323"/>
      <c r="I18" s="323"/>
      <c r="J18" s="323">
        <v>8</v>
      </c>
      <c r="K18" s="323">
        <v>16</v>
      </c>
      <c r="L18" s="323">
        <v>23</v>
      </c>
      <c r="M18" s="323">
        <v>31</v>
      </c>
      <c r="N18" s="323">
        <v>39</v>
      </c>
      <c r="O18" s="323">
        <v>46</v>
      </c>
      <c r="P18" s="745">
        <v>54</v>
      </c>
      <c r="Q18" s="745">
        <v>62</v>
      </c>
      <c r="R18" s="745">
        <v>69</v>
      </c>
      <c r="S18" s="745">
        <v>77</v>
      </c>
      <c r="T18" s="745">
        <v>85</v>
      </c>
      <c r="U18" s="745">
        <v>93</v>
      </c>
      <c r="V18" s="745">
        <v>100</v>
      </c>
      <c r="W18" s="745">
        <v>100</v>
      </c>
      <c r="X18" s="745">
        <v>100</v>
      </c>
      <c r="Y18" s="745">
        <v>100</v>
      </c>
      <c r="Z18" s="745">
        <v>100</v>
      </c>
      <c r="AA18" s="745">
        <v>100</v>
      </c>
      <c r="AB18" s="314"/>
    </row>
    <row r="19" spans="1:28" ht="19.5" customHeight="1">
      <c r="A19" s="746" t="str">
        <f>'第一號明細表'!A16</f>
        <v>造型模板 </v>
      </c>
      <c r="B19" s="409" t="str">
        <f>'第一號明細表'!C16</f>
        <v>m2</v>
      </c>
      <c r="C19" s="410">
        <f>'第一號明細表'!F16/'預算書總表'!$F$14*100</f>
        <v>3.54</v>
      </c>
      <c r="D19" s="318">
        <f>'第一號明細表'!D16</f>
        <v>6607</v>
      </c>
      <c r="E19" s="312" t="s">
        <v>480</v>
      </c>
      <c r="F19" s="323"/>
      <c r="G19" s="323"/>
      <c r="H19" s="323"/>
      <c r="I19" s="323"/>
      <c r="J19" s="323">
        <v>8</v>
      </c>
      <c r="K19" s="323">
        <v>16</v>
      </c>
      <c r="L19" s="323">
        <v>23</v>
      </c>
      <c r="M19" s="323">
        <v>31</v>
      </c>
      <c r="N19" s="323">
        <v>39</v>
      </c>
      <c r="O19" s="323">
        <v>46</v>
      </c>
      <c r="P19" s="745">
        <v>54</v>
      </c>
      <c r="Q19" s="745">
        <v>62</v>
      </c>
      <c r="R19" s="745">
        <v>69</v>
      </c>
      <c r="S19" s="745">
        <v>77</v>
      </c>
      <c r="T19" s="745">
        <v>85</v>
      </c>
      <c r="U19" s="745">
        <v>93</v>
      </c>
      <c r="V19" s="745">
        <v>100</v>
      </c>
      <c r="W19" s="745">
        <v>100</v>
      </c>
      <c r="X19" s="745">
        <v>100</v>
      </c>
      <c r="Y19" s="745">
        <v>100</v>
      </c>
      <c r="Z19" s="745">
        <v>100</v>
      </c>
      <c r="AA19" s="745">
        <v>100</v>
      </c>
      <c r="AB19" s="314"/>
    </row>
    <row r="20" spans="1:28" ht="19.5" customHeight="1">
      <c r="A20" s="746" t="str">
        <f>'第一號明細表'!A17</f>
        <v>鋼筋及加工組立</v>
      </c>
      <c r="B20" s="409" t="str">
        <f>'第一號明細表'!C17</f>
        <v>噸</v>
      </c>
      <c r="C20" s="410">
        <f>'第一號明細表'!F17/'預算書總表'!$F$14*100</f>
        <v>15.39</v>
      </c>
      <c r="D20" s="318">
        <f>'第一號明細表'!D17</f>
        <v>1372</v>
      </c>
      <c r="E20" s="312" t="s">
        <v>480</v>
      </c>
      <c r="F20" s="323"/>
      <c r="G20" s="323"/>
      <c r="H20" s="323"/>
      <c r="I20" s="323"/>
      <c r="J20" s="323">
        <v>8</v>
      </c>
      <c r="K20" s="323">
        <v>16</v>
      </c>
      <c r="L20" s="323">
        <v>23</v>
      </c>
      <c r="M20" s="323">
        <v>31</v>
      </c>
      <c r="N20" s="323">
        <v>39</v>
      </c>
      <c r="O20" s="323">
        <v>46</v>
      </c>
      <c r="P20" s="745">
        <v>54</v>
      </c>
      <c r="Q20" s="745">
        <v>62</v>
      </c>
      <c r="R20" s="745">
        <v>69</v>
      </c>
      <c r="S20" s="745">
        <v>77</v>
      </c>
      <c r="T20" s="745">
        <v>85</v>
      </c>
      <c r="U20" s="745">
        <v>93</v>
      </c>
      <c r="V20" s="745">
        <v>100</v>
      </c>
      <c r="W20" s="745">
        <v>100</v>
      </c>
      <c r="X20" s="745">
        <v>100</v>
      </c>
      <c r="Y20" s="745">
        <v>100</v>
      </c>
      <c r="Z20" s="745">
        <v>100</v>
      </c>
      <c r="AA20" s="745">
        <v>100</v>
      </c>
      <c r="AB20" s="314"/>
    </row>
    <row r="21" spans="1:28" ht="19.5" customHeight="1">
      <c r="A21" s="746" t="str">
        <f>'第一號明細表'!A18</f>
        <v>鋼模損耗及折舊</v>
      </c>
      <c r="B21" s="409" t="str">
        <f>'第一號明細表'!C18</f>
        <v>m2</v>
      </c>
      <c r="C21" s="410">
        <f>'第一號明細表'!F18/'預算書總表'!$F$14*100</f>
        <v>1.35</v>
      </c>
      <c r="D21" s="318">
        <f>'第一號明細表'!D18</f>
        <v>4332</v>
      </c>
      <c r="E21" s="312" t="s">
        <v>480</v>
      </c>
      <c r="F21" s="323"/>
      <c r="G21" s="323"/>
      <c r="H21" s="323"/>
      <c r="I21" s="323"/>
      <c r="J21" s="323">
        <v>8</v>
      </c>
      <c r="K21" s="323">
        <v>16</v>
      </c>
      <c r="L21" s="323">
        <v>23</v>
      </c>
      <c r="M21" s="323">
        <v>31</v>
      </c>
      <c r="N21" s="323">
        <v>39</v>
      </c>
      <c r="O21" s="323">
        <v>46</v>
      </c>
      <c r="P21" s="745">
        <v>54</v>
      </c>
      <c r="Q21" s="745">
        <v>62</v>
      </c>
      <c r="R21" s="745">
        <v>69</v>
      </c>
      <c r="S21" s="745">
        <v>77</v>
      </c>
      <c r="T21" s="745">
        <v>85</v>
      </c>
      <c r="U21" s="745">
        <v>93</v>
      </c>
      <c r="V21" s="745">
        <v>100</v>
      </c>
      <c r="W21" s="745">
        <v>100</v>
      </c>
      <c r="X21" s="745">
        <v>100</v>
      </c>
      <c r="Y21" s="745">
        <v>100</v>
      </c>
      <c r="Z21" s="745">
        <v>100</v>
      </c>
      <c r="AA21" s="745">
        <v>100</v>
      </c>
      <c r="AB21" s="315"/>
    </row>
    <row r="22" spans="1:28" ht="19.5" customHeight="1">
      <c r="A22" s="746" t="str">
        <f>'第一號明細表'!A19</f>
        <v>50kg級鋼軌樁</v>
      </c>
      <c r="B22" s="409" t="str">
        <f>'第一號明細表'!C19</f>
        <v>支</v>
      </c>
      <c r="C22" s="410">
        <f>'第一號明細表'!F19/'預算書總表'!$F$14*100</f>
        <v>4.57</v>
      </c>
      <c r="D22" s="318">
        <f>'第一號明細表'!D19</f>
        <v>825</v>
      </c>
      <c r="E22" s="312" t="s">
        <v>480</v>
      </c>
      <c r="F22" s="323"/>
      <c r="G22" s="323"/>
      <c r="H22" s="323"/>
      <c r="I22" s="323"/>
      <c r="J22" s="323">
        <v>8</v>
      </c>
      <c r="K22" s="323">
        <v>16</v>
      </c>
      <c r="L22" s="323">
        <v>23</v>
      </c>
      <c r="M22" s="323">
        <v>31</v>
      </c>
      <c r="N22" s="323">
        <v>39</v>
      </c>
      <c r="O22" s="323">
        <v>46</v>
      </c>
      <c r="P22" s="745">
        <v>54</v>
      </c>
      <c r="Q22" s="745">
        <v>62</v>
      </c>
      <c r="R22" s="745">
        <v>69</v>
      </c>
      <c r="S22" s="745">
        <v>77</v>
      </c>
      <c r="T22" s="745">
        <v>85</v>
      </c>
      <c r="U22" s="745">
        <v>93</v>
      </c>
      <c r="V22" s="745">
        <v>100</v>
      </c>
      <c r="W22" s="745">
        <v>100</v>
      </c>
      <c r="X22" s="745">
        <v>100</v>
      </c>
      <c r="Y22" s="745">
        <v>100</v>
      </c>
      <c r="Z22" s="745">
        <v>100</v>
      </c>
      <c r="AA22" s="745">
        <v>100</v>
      </c>
      <c r="AB22" s="314"/>
    </row>
    <row r="23" spans="1:28" ht="19.5" customHeight="1">
      <c r="A23" s="746" t="str">
        <f>'第一號明細表'!A20</f>
        <v>直徑3"洩水管</v>
      </c>
      <c r="B23" s="409" t="str">
        <f>'第一號明細表'!C20</f>
        <v>支</v>
      </c>
      <c r="C23" s="410">
        <f>'第一號明細表'!F20/'預算書總表'!$F$14*100</f>
        <v>0.32</v>
      </c>
      <c r="D23" s="318">
        <f>'第一號明細表'!D20</f>
        <v>1707</v>
      </c>
      <c r="E23" s="312" t="s">
        <v>480</v>
      </c>
      <c r="F23" s="323"/>
      <c r="G23" s="323"/>
      <c r="H23" s="323"/>
      <c r="I23" s="323"/>
      <c r="J23" s="323">
        <v>8</v>
      </c>
      <c r="K23" s="323">
        <v>16</v>
      </c>
      <c r="L23" s="323">
        <v>23</v>
      </c>
      <c r="M23" s="323">
        <v>31</v>
      </c>
      <c r="N23" s="323">
        <v>39</v>
      </c>
      <c r="O23" s="323">
        <v>46</v>
      </c>
      <c r="P23" s="745">
        <v>54</v>
      </c>
      <c r="Q23" s="745">
        <v>62</v>
      </c>
      <c r="R23" s="745">
        <v>69</v>
      </c>
      <c r="S23" s="745">
        <v>77</v>
      </c>
      <c r="T23" s="745">
        <v>85</v>
      </c>
      <c r="U23" s="745">
        <v>93</v>
      </c>
      <c r="V23" s="745">
        <v>100</v>
      </c>
      <c r="W23" s="745">
        <v>100</v>
      </c>
      <c r="X23" s="745">
        <v>100</v>
      </c>
      <c r="Y23" s="745">
        <v>100</v>
      </c>
      <c r="Z23" s="745">
        <v>100</v>
      </c>
      <c r="AA23" s="745">
        <v>100</v>
      </c>
      <c r="AB23" s="315"/>
    </row>
    <row r="24" spans="1:28" ht="19.5" customHeight="1">
      <c r="A24" s="746" t="str">
        <f>'第一號明細表'!A21</f>
        <v>防洪牆伸縮縫</v>
      </c>
      <c r="B24" s="409" t="str">
        <f>'第一號明細表'!C21</f>
        <v>處</v>
      </c>
      <c r="C24" s="410">
        <f>'第一號明細表'!F21/'預算書總表'!$F$14*100</f>
        <v>0.28</v>
      </c>
      <c r="D24" s="318">
        <f>'第一號明細表'!D21</f>
        <v>57</v>
      </c>
      <c r="E24" s="312" t="s">
        <v>480</v>
      </c>
      <c r="F24" s="323"/>
      <c r="G24" s="323"/>
      <c r="H24" s="323"/>
      <c r="I24" s="323"/>
      <c r="J24" s="323">
        <v>8</v>
      </c>
      <c r="K24" s="323">
        <v>16</v>
      </c>
      <c r="L24" s="323">
        <v>23</v>
      </c>
      <c r="M24" s="323">
        <v>31</v>
      </c>
      <c r="N24" s="323">
        <v>39</v>
      </c>
      <c r="O24" s="323">
        <v>46</v>
      </c>
      <c r="P24" s="745">
        <v>54</v>
      </c>
      <c r="Q24" s="745">
        <v>62</v>
      </c>
      <c r="R24" s="745">
        <v>69</v>
      </c>
      <c r="S24" s="745">
        <v>77</v>
      </c>
      <c r="T24" s="745">
        <v>85</v>
      </c>
      <c r="U24" s="745">
        <v>93</v>
      </c>
      <c r="V24" s="745">
        <v>100</v>
      </c>
      <c r="W24" s="745">
        <v>100</v>
      </c>
      <c r="X24" s="745">
        <v>100</v>
      </c>
      <c r="Y24" s="745">
        <v>100</v>
      </c>
      <c r="Z24" s="745">
        <v>100</v>
      </c>
      <c r="AA24" s="745">
        <v>100</v>
      </c>
      <c r="AB24" s="315"/>
    </row>
    <row r="25" spans="1:28" ht="19.5" customHeight="1">
      <c r="A25" s="746" t="str">
        <f>'第一號明細表'!A22</f>
        <v>側溝（1M*1M）</v>
      </c>
      <c r="B25" s="409" t="str">
        <f>'第一號明細表'!C22</f>
        <v>m</v>
      </c>
      <c r="C25" s="410">
        <f>'第一號明細表'!F22/'預算書總表'!$F$14*100</f>
        <v>0.79</v>
      </c>
      <c r="D25" s="318">
        <f>'第一號明細表'!D22</f>
        <v>408</v>
      </c>
      <c r="E25" s="312" t="s">
        <v>480</v>
      </c>
      <c r="F25" s="323"/>
      <c r="G25" s="323"/>
      <c r="H25" s="323"/>
      <c r="I25" s="323"/>
      <c r="J25" s="323">
        <v>8</v>
      </c>
      <c r="K25" s="323">
        <v>16</v>
      </c>
      <c r="L25" s="323">
        <v>23</v>
      </c>
      <c r="M25" s="323">
        <v>31</v>
      </c>
      <c r="N25" s="323">
        <v>39</v>
      </c>
      <c r="O25" s="323">
        <v>46</v>
      </c>
      <c r="P25" s="745">
        <v>54</v>
      </c>
      <c r="Q25" s="745">
        <v>62</v>
      </c>
      <c r="R25" s="745">
        <v>69</v>
      </c>
      <c r="S25" s="745">
        <v>77</v>
      </c>
      <c r="T25" s="745">
        <v>85</v>
      </c>
      <c r="U25" s="745">
        <v>93</v>
      </c>
      <c r="V25" s="745">
        <v>100</v>
      </c>
      <c r="W25" s="745">
        <v>100</v>
      </c>
      <c r="X25" s="745">
        <v>100</v>
      </c>
      <c r="Y25" s="745">
        <v>100</v>
      </c>
      <c r="Z25" s="745">
        <v>100</v>
      </c>
      <c r="AA25" s="745">
        <v>100</v>
      </c>
      <c r="AB25" s="315"/>
    </row>
    <row r="26" spans="1:28" ht="19.5" customHeight="1">
      <c r="A26" s="746" t="str">
        <f>'第一號明細表'!A23</f>
        <v>側溝格柵版（1M*1M）</v>
      </c>
      <c r="B26" s="409" t="str">
        <f>'第一號明細表'!C23</f>
        <v>塊</v>
      </c>
      <c r="C26" s="410">
        <f>'第一號明細表'!F23/'預算書總表'!$F$14*100</f>
        <v>0.15</v>
      </c>
      <c r="D26" s="318">
        <f>'第一號明細表'!D23</f>
        <v>82</v>
      </c>
      <c r="E26" s="312" t="s">
        <v>480</v>
      </c>
      <c r="F26" s="323"/>
      <c r="G26" s="323"/>
      <c r="H26" s="323"/>
      <c r="I26" s="323"/>
      <c r="J26" s="323">
        <v>8</v>
      </c>
      <c r="K26" s="323">
        <v>16</v>
      </c>
      <c r="L26" s="323">
        <v>23</v>
      </c>
      <c r="M26" s="323">
        <v>31</v>
      </c>
      <c r="N26" s="323">
        <v>39</v>
      </c>
      <c r="O26" s="323">
        <v>46</v>
      </c>
      <c r="P26" s="745">
        <v>54</v>
      </c>
      <c r="Q26" s="745">
        <v>62</v>
      </c>
      <c r="R26" s="745">
        <v>69</v>
      </c>
      <c r="S26" s="745">
        <v>77</v>
      </c>
      <c r="T26" s="745">
        <v>85</v>
      </c>
      <c r="U26" s="745">
        <v>93</v>
      </c>
      <c r="V26" s="745">
        <v>100</v>
      </c>
      <c r="W26" s="745">
        <v>100</v>
      </c>
      <c r="X26" s="745">
        <v>100</v>
      </c>
      <c r="Y26" s="745">
        <v>100</v>
      </c>
      <c r="Z26" s="745">
        <v>100</v>
      </c>
      <c r="AA26" s="745">
        <v>100</v>
      </c>
      <c r="AB26" s="315"/>
    </row>
    <row r="27" spans="1:28" ht="19.5" customHeight="1">
      <c r="A27" s="746" t="str">
        <f>'第一號明細表'!A24</f>
        <v>預鑄涵版（1M*1M）</v>
      </c>
      <c r="B27" s="409" t="str">
        <f>'第一號明細表'!C24</f>
        <v>塊</v>
      </c>
      <c r="C27" s="410">
        <f>'第一號明細表'!F24/'預算書總表'!$F$14*100</f>
        <v>0.18</v>
      </c>
      <c r="D27" s="318">
        <f>'第一號明細表'!D24</f>
        <v>326</v>
      </c>
      <c r="E27" s="312" t="s">
        <v>480</v>
      </c>
      <c r="F27" s="323"/>
      <c r="G27" s="323"/>
      <c r="H27" s="323"/>
      <c r="I27" s="323"/>
      <c r="J27" s="323">
        <v>8</v>
      </c>
      <c r="K27" s="323">
        <v>16</v>
      </c>
      <c r="L27" s="323">
        <v>23</v>
      </c>
      <c r="M27" s="323">
        <v>31</v>
      </c>
      <c r="N27" s="323">
        <v>39</v>
      </c>
      <c r="O27" s="323">
        <v>46</v>
      </c>
      <c r="P27" s="745">
        <v>54</v>
      </c>
      <c r="Q27" s="745">
        <v>62</v>
      </c>
      <c r="R27" s="745">
        <v>69</v>
      </c>
      <c r="S27" s="745">
        <v>77</v>
      </c>
      <c r="T27" s="745">
        <v>85</v>
      </c>
      <c r="U27" s="745">
        <v>93</v>
      </c>
      <c r="V27" s="745">
        <v>100</v>
      </c>
      <c r="W27" s="745">
        <v>100</v>
      </c>
      <c r="X27" s="745">
        <v>100</v>
      </c>
      <c r="Y27" s="745">
        <v>100</v>
      </c>
      <c r="Z27" s="745">
        <v>100</v>
      </c>
      <c r="AA27" s="745">
        <v>100</v>
      </c>
      <c r="AB27" s="315"/>
    </row>
    <row r="28" spans="1:28" ht="19.5" customHeight="1">
      <c r="A28" s="746" t="str">
        <f>'第一號明細表'!A25</f>
        <v>側溝（1M*0.8M）</v>
      </c>
      <c r="B28" s="409" t="str">
        <f>'第一號明細表'!C25</f>
        <v>m</v>
      </c>
      <c r="C28" s="410">
        <f>'第一號明細表'!F25/'預算書總表'!$F$14*100</f>
        <v>0.46</v>
      </c>
      <c r="D28" s="318">
        <f>'第一號明細表'!D25</f>
        <v>247</v>
      </c>
      <c r="E28" s="312" t="s">
        <v>480</v>
      </c>
      <c r="F28" s="323"/>
      <c r="G28" s="323"/>
      <c r="H28" s="323"/>
      <c r="I28" s="323"/>
      <c r="J28" s="323">
        <v>8</v>
      </c>
      <c r="K28" s="323">
        <v>16</v>
      </c>
      <c r="L28" s="323">
        <v>23</v>
      </c>
      <c r="M28" s="323">
        <v>31</v>
      </c>
      <c r="N28" s="323">
        <v>39</v>
      </c>
      <c r="O28" s="323">
        <v>46</v>
      </c>
      <c r="P28" s="745">
        <v>54</v>
      </c>
      <c r="Q28" s="745">
        <v>62</v>
      </c>
      <c r="R28" s="745">
        <v>69</v>
      </c>
      <c r="S28" s="745">
        <v>77</v>
      </c>
      <c r="T28" s="745">
        <v>85</v>
      </c>
      <c r="U28" s="745">
        <v>93</v>
      </c>
      <c r="V28" s="745">
        <v>100</v>
      </c>
      <c r="W28" s="745">
        <v>100</v>
      </c>
      <c r="X28" s="745">
        <v>100</v>
      </c>
      <c r="Y28" s="745">
        <v>100</v>
      </c>
      <c r="Z28" s="745">
        <v>100</v>
      </c>
      <c r="AA28" s="745">
        <v>100</v>
      </c>
      <c r="AB28" s="315"/>
    </row>
    <row r="29" spans="1:28" ht="19.5" customHeight="1">
      <c r="A29" s="746" t="str">
        <f>'第一號明細表'!A26</f>
        <v>側溝格柵版（1M*0.8M）</v>
      </c>
      <c r="B29" s="409" t="str">
        <f>'第一號明細表'!C26</f>
        <v>塊</v>
      </c>
      <c r="C29" s="410">
        <f>'第一號明細表'!F26/'預算書總表'!$F$14*100</f>
        <v>0.07</v>
      </c>
      <c r="D29" s="318">
        <f>'第一號明細表'!D26</f>
        <v>50</v>
      </c>
      <c r="E29" s="312" t="s">
        <v>480</v>
      </c>
      <c r="F29" s="323"/>
      <c r="G29" s="323"/>
      <c r="H29" s="323"/>
      <c r="I29" s="323"/>
      <c r="J29" s="323">
        <v>8</v>
      </c>
      <c r="K29" s="323">
        <v>16</v>
      </c>
      <c r="L29" s="323">
        <v>23</v>
      </c>
      <c r="M29" s="323">
        <v>31</v>
      </c>
      <c r="N29" s="323">
        <v>39</v>
      </c>
      <c r="O29" s="323">
        <v>46</v>
      </c>
      <c r="P29" s="745">
        <v>54</v>
      </c>
      <c r="Q29" s="745">
        <v>62</v>
      </c>
      <c r="R29" s="745">
        <v>69</v>
      </c>
      <c r="S29" s="745">
        <v>77</v>
      </c>
      <c r="T29" s="745">
        <v>85</v>
      </c>
      <c r="U29" s="745">
        <v>93</v>
      </c>
      <c r="V29" s="745">
        <v>100</v>
      </c>
      <c r="W29" s="745">
        <v>100</v>
      </c>
      <c r="X29" s="745">
        <v>100</v>
      </c>
      <c r="Y29" s="745">
        <v>100</v>
      </c>
      <c r="Z29" s="745">
        <v>100</v>
      </c>
      <c r="AA29" s="745">
        <v>100</v>
      </c>
      <c r="AB29" s="315"/>
    </row>
    <row r="30" spans="1:28" ht="19.5" customHeight="1">
      <c r="A30" s="746" t="str">
        <f>'第一號明細表'!A35</f>
        <v>預鑄涵版（0.5M*0.8M）</v>
      </c>
      <c r="B30" s="409" t="str">
        <f>'第一號明細表'!C35</f>
        <v>塊</v>
      </c>
      <c r="C30" s="410">
        <f>'第一號明細表'!F35/'預算書總表'!$F$14*100</f>
        <v>0.13</v>
      </c>
      <c r="D30" s="318">
        <f>'第一號明細表'!D35</f>
        <v>394</v>
      </c>
      <c r="E30" s="312" t="s">
        <v>480</v>
      </c>
      <c r="F30" s="323"/>
      <c r="G30" s="323"/>
      <c r="H30" s="323"/>
      <c r="I30" s="323"/>
      <c r="J30" s="323">
        <v>8</v>
      </c>
      <c r="K30" s="323">
        <v>16</v>
      </c>
      <c r="L30" s="323">
        <v>23</v>
      </c>
      <c r="M30" s="323">
        <v>31</v>
      </c>
      <c r="N30" s="323">
        <v>39</v>
      </c>
      <c r="O30" s="323">
        <v>46</v>
      </c>
      <c r="P30" s="745">
        <v>54</v>
      </c>
      <c r="Q30" s="745">
        <v>62</v>
      </c>
      <c r="R30" s="745">
        <v>69</v>
      </c>
      <c r="S30" s="745">
        <v>77</v>
      </c>
      <c r="T30" s="745">
        <v>85</v>
      </c>
      <c r="U30" s="745">
        <v>93</v>
      </c>
      <c r="V30" s="745">
        <v>100</v>
      </c>
      <c r="W30" s="745">
        <v>100</v>
      </c>
      <c r="X30" s="745">
        <v>100</v>
      </c>
      <c r="Y30" s="745">
        <v>100</v>
      </c>
      <c r="Z30" s="745">
        <v>100</v>
      </c>
      <c r="AA30" s="745">
        <v>100</v>
      </c>
      <c r="AB30" s="508"/>
    </row>
    <row r="31" spans="1:28" ht="19.5" customHeight="1">
      <c r="A31" s="746" t="str">
        <f>'第一號明細表'!A36</f>
        <v>加勁值生檔土牆</v>
      </c>
      <c r="B31" s="409" t="str">
        <f>'第一號明細表'!C36</f>
        <v>M2</v>
      </c>
      <c r="C31" s="410">
        <f>'第一號明細表'!F36/'預算書總表'!$F$14*100</f>
        <v>11.73</v>
      </c>
      <c r="D31" s="318">
        <f>'第一號明細表'!D36</f>
        <v>2964</v>
      </c>
      <c r="E31" s="312" t="s">
        <v>480</v>
      </c>
      <c r="F31" s="323"/>
      <c r="G31" s="323"/>
      <c r="H31" s="323"/>
      <c r="I31" s="323"/>
      <c r="J31" s="323"/>
      <c r="K31" s="323"/>
      <c r="L31" s="324"/>
      <c r="M31" s="323">
        <v>9</v>
      </c>
      <c r="N31" s="745">
        <v>18</v>
      </c>
      <c r="O31" s="745">
        <v>27</v>
      </c>
      <c r="P31" s="745">
        <v>36</v>
      </c>
      <c r="Q31" s="745">
        <v>45</v>
      </c>
      <c r="R31" s="745">
        <v>54</v>
      </c>
      <c r="S31" s="745">
        <v>63</v>
      </c>
      <c r="T31" s="745">
        <v>72</v>
      </c>
      <c r="U31" s="745">
        <v>81</v>
      </c>
      <c r="V31" s="745">
        <v>90</v>
      </c>
      <c r="W31" s="745">
        <v>100</v>
      </c>
      <c r="X31" s="745">
        <v>100</v>
      </c>
      <c r="Y31" s="745">
        <v>100</v>
      </c>
      <c r="Z31" s="745">
        <v>100</v>
      </c>
      <c r="AA31" s="745">
        <v>100</v>
      </c>
      <c r="AB31" s="508"/>
    </row>
    <row r="32" spans="1:28" ht="19.5" customHeight="1">
      <c r="A32" s="746" t="str">
        <f>'第一號明細表'!A37</f>
        <v>非黏性土壤夯實費</v>
      </c>
      <c r="B32" s="409" t="str">
        <f>'第一號明細表'!C37</f>
        <v>m3</v>
      </c>
      <c r="C32" s="410">
        <f>'第一號明細表'!F37/'預算書總表'!$F$14*100</f>
        <v>0.41</v>
      </c>
      <c r="D32" s="318">
        <f>'第一號明細表'!D37</f>
        <v>43452</v>
      </c>
      <c r="E32" s="312" t="s">
        <v>480</v>
      </c>
      <c r="F32" s="323"/>
      <c r="G32" s="323"/>
      <c r="H32" s="323"/>
      <c r="I32" s="323"/>
      <c r="J32" s="323">
        <v>7</v>
      </c>
      <c r="K32" s="323">
        <v>14</v>
      </c>
      <c r="L32" s="323">
        <v>20</v>
      </c>
      <c r="M32" s="323">
        <v>27</v>
      </c>
      <c r="N32" s="323">
        <v>34</v>
      </c>
      <c r="O32" s="323">
        <v>40</v>
      </c>
      <c r="P32" s="745">
        <v>47</v>
      </c>
      <c r="Q32" s="745">
        <v>54</v>
      </c>
      <c r="R32" s="745">
        <v>60</v>
      </c>
      <c r="S32" s="745">
        <v>67</v>
      </c>
      <c r="T32" s="745">
        <v>74</v>
      </c>
      <c r="U32" s="745">
        <v>80</v>
      </c>
      <c r="V32" s="745">
        <v>87</v>
      </c>
      <c r="W32" s="745">
        <v>94</v>
      </c>
      <c r="X32" s="745">
        <v>100</v>
      </c>
      <c r="Y32" s="745">
        <v>100</v>
      </c>
      <c r="Z32" s="745">
        <v>100</v>
      </c>
      <c r="AA32" s="745">
        <v>100</v>
      </c>
      <c r="AB32" s="508"/>
    </row>
    <row r="33" spans="1:28" ht="19.5" customHeight="1">
      <c r="A33" s="746" t="str">
        <f>'第一號明細表'!A38</f>
        <v>拋塊(角)石 （粒徑平均≧60cm）</v>
      </c>
      <c r="B33" s="409" t="str">
        <f>'第一號明細表'!C38</f>
        <v>m3</v>
      </c>
      <c r="C33" s="410">
        <f>'第一號明細表'!F38/'預算書總表'!$F$14*100</f>
        <v>1</v>
      </c>
      <c r="D33" s="318">
        <f>'第一號明細表'!D38</f>
        <v>17885</v>
      </c>
      <c r="E33" s="312" t="s">
        <v>480</v>
      </c>
      <c r="F33" s="323"/>
      <c r="G33" s="323"/>
      <c r="H33" s="323"/>
      <c r="I33" s="323"/>
      <c r="J33" s="323"/>
      <c r="K33" s="323"/>
      <c r="L33" s="324">
        <v>8</v>
      </c>
      <c r="M33" s="323">
        <v>16</v>
      </c>
      <c r="N33" s="745">
        <v>25</v>
      </c>
      <c r="O33" s="745">
        <v>33</v>
      </c>
      <c r="P33" s="745">
        <v>41</v>
      </c>
      <c r="Q33" s="745">
        <v>50</v>
      </c>
      <c r="R33" s="745">
        <v>58</v>
      </c>
      <c r="S33" s="745">
        <v>66</v>
      </c>
      <c r="T33" s="745">
        <v>75</v>
      </c>
      <c r="U33" s="745">
        <v>83</v>
      </c>
      <c r="V33" s="745">
        <v>91</v>
      </c>
      <c r="W33" s="745">
        <v>100</v>
      </c>
      <c r="X33" s="745">
        <v>100</v>
      </c>
      <c r="Y33" s="745">
        <v>100</v>
      </c>
      <c r="Z33" s="745">
        <v>100</v>
      </c>
      <c r="AA33" s="745">
        <v>100</v>
      </c>
      <c r="AB33" s="508"/>
    </row>
    <row r="34" spans="1:28" ht="19.5" customHeight="1">
      <c r="A34" s="746" t="str">
        <f>'第一號明細表'!A39</f>
        <v>機編高鍍鋅(被覆P.V.C.)石籠3m*1m*1m</v>
      </c>
      <c r="B34" s="409" t="str">
        <f>'第一號明細表'!C39</f>
        <v>組</v>
      </c>
      <c r="C34" s="410">
        <f>'第一號明細表'!F39/'預算書總表'!$F$14*100</f>
        <v>1.84</v>
      </c>
      <c r="D34" s="318">
        <f>'第一號明細表'!D39</f>
        <v>703</v>
      </c>
      <c r="E34" s="312" t="s">
        <v>480</v>
      </c>
      <c r="F34" s="323"/>
      <c r="G34" s="323"/>
      <c r="H34" s="323"/>
      <c r="I34" s="323"/>
      <c r="J34" s="323">
        <v>8</v>
      </c>
      <c r="K34" s="323">
        <v>16</v>
      </c>
      <c r="L34" s="323">
        <v>23</v>
      </c>
      <c r="M34" s="323">
        <v>31</v>
      </c>
      <c r="N34" s="323">
        <v>39</v>
      </c>
      <c r="O34" s="323">
        <v>46</v>
      </c>
      <c r="P34" s="745">
        <v>54</v>
      </c>
      <c r="Q34" s="745">
        <v>62</v>
      </c>
      <c r="R34" s="745">
        <v>69</v>
      </c>
      <c r="S34" s="745">
        <v>77</v>
      </c>
      <c r="T34" s="745">
        <v>85</v>
      </c>
      <c r="U34" s="745">
        <v>93</v>
      </c>
      <c r="V34" s="745">
        <v>100</v>
      </c>
      <c r="W34" s="745">
        <v>100</v>
      </c>
      <c r="X34" s="745">
        <v>100</v>
      </c>
      <c r="Y34" s="745">
        <v>100</v>
      </c>
      <c r="Z34" s="745">
        <v>100</v>
      </c>
      <c r="AA34" s="745">
        <v>100</v>
      </c>
      <c r="AB34" s="508"/>
    </row>
    <row r="35" spans="1:28" ht="19.5" customHeight="1">
      <c r="A35" s="746" t="str">
        <f>'第一號明細表'!A40</f>
        <v>噴附基材植生</v>
      </c>
      <c r="B35" s="409" t="str">
        <f>'第一號明細表'!C40</f>
        <v>m2</v>
      </c>
      <c r="C35" s="410">
        <f>'第一號明細表'!F40/'預算書總表'!$F$14*100</f>
        <v>0.28</v>
      </c>
      <c r="D35" s="318">
        <f>'第一號明細表'!D40</f>
        <v>3773</v>
      </c>
      <c r="E35" s="312" t="s">
        <v>480</v>
      </c>
      <c r="F35" s="323"/>
      <c r="G35" s="323"/>
      <c r="H35" s="323"/>
      <c r="I35" s="323"/>
      <c r="J35" s="323"/>
      <c r="K35" s="323"/>
      <c r="L35" s="324"/>
      <c r="M35" s="323"/>
      <c r="N35" s="745"/>
      <c r="O35" s="745"/>
      <c r="P35" s="745"/>
      <c r="Q35" s="745"/>
      <c r="R35" s="745"/>
      <c r="S35" s="745">
        <v>25</v>
      </c>
      <c r="T35" s="745">
        <v>50</v>
      </c>
      <c r="U35" s="745">
        <v>75</v>
      </c>
      <c r="V35" s="745">
        <v>100</v>
      </c>
      <c r="W35" s="745">
        <v>100</v>
      </c>
      <c r="X35" s="745">
        <v>100</v>
      </c>
      <c r="Y35" s="745">
        <v>100</v>
      </c>
      <c r="Z35" s="745">
        <v>100</v>
      </c>
      <c r="AA35" s="745">
        <v>100</v>
      </c>
      <c r="AB35" s="508"/>
    </row>
    <row r="36" spans="1:28" ht="19.5" customHeight="1">
      <c r="A36" s="746" t="str">
        <f>'第一號明細表'!A41</f>
        <v>合纖透水織布</v>
      </c>
      <c r="B36" s="409" t="str">
        <f>'第一號明細表'!C41</f>
        <v>M2</v>
      </c>
      <c r="C36" s="410">
        <f>'第一號明細表'!F41/'預算書總表'!$F$14*100</f>
        <v>0.51</v>
      </c>
      <c r="D36" s="318">
        <f>'第一號明細表'!D41</f>
        <v>6779</v>
      </c>
      <c r="E36" s="312" t="s">
        <v>480</v>
      </c>
      <c r="F36" s="323"/>
      <c r="G36" s="323"/>
      <c r="H36" s="323"/>
      <c r="I36" s="323"/>
      <c r="J36" s="323">
        <v>8</v>
      </c>
      <c r="K36" s="323">
        <v>16</v>
      </c>
      <c r="L36" s="323">
        <v>23</v>
      </c>
      <c r="M36" s="323">
        <v>31</v>
      </c>
      <c r="N36" s="323">
        <v>39</v>
      </c>
      <c r="O36" s="323">
        <v>46</v>
      </c>
      <c r="P36" s="745">
        <v>54</v>
      </c>
      <c r="Q36" s="745">
        <v>62</v>
      </c>
      <c r="R36" s="745">
        <v>69</v>
      </c>
      <c r="S36" s="745">
        <v>77</v>
      </c>
      <c r="T36" s="745">
        <v>85</v>
      </c>
      <c r="U36" s="745">
        <v>93</v>
      </c>
      <c r="V36" s="745">
        <v>100</v>
      </c>
      <c r="W36" s="745">
        <v>100</v>
      </c>
      <c r="X36" s="745">
        <v>100</v>
      </c>
      <c r="Y36" s="745">
        <v>100</v>
      </c>
      <c r="Z36" s="745">
        <v>100</v>
      </c>
      <c r="AA36" s="745">
        <v>100</v>
      </c>
      <c r="AB36" s="508"/>
    </row>
    <row r="37" spans="1:28" ht="19.5" customHeight="1">
      <c r="A37" s="746" t="str">
        <f>'第一號明細表'!A42</f>
        <v>碎石級配</v>
      </c>
      <c r="B37" s="409" t="str">
        <f>'第一號明細表'!C42</f>
        <v>m3</v>
      </c>
      <c r="C37" s="410">
        <f>'第一號明細表'!F42/'預算書總表'!$F$14*100</f>
        <v>1.35</v>
      </c>
      <c r="D37" s="318">
        <f>'第一號明細表'!D42</f>
        <v>2057</v>
      </c>
      <c r="E37" s="312" t="s">
        <v>480</v>
      </c>
      <c r="F37" s="323"/>
      <c r="G37" s="323"/>
      <c r="H37" s="323"/>
      <c r="I37" s="323"/>
      <c r="J37" s="323">
        <v>8</v>
      </c>
      <c r="K37" s="323">
        <v>16</v>
      </c>
      <c r="L37" s="323">
        <v>23</v>
      </c>
      <c r="M37" s="323">
        <v>31</v>
      </c>
      <c r="N37" s="323">
        <v>39</v>
      </c>
      <c r="O37" s="323">
        <v>46</v>
      </c>
      <c r="P37" s="745">
        <v>54</v>
      </c>
      <c r="Q37" s="745">
        <v>62</v>
      </c>
      <c r="R37" s="745">
        <v>69</v>
      </c>
      <c r="S37" s="745">
        <v>77</v>
      </c>
      <c r="T37" s="745">
        <v>85</v>
      </c>
      <c r="U37" s="745">
        <v>93</v>
      </c>
      <c r="V37" s="745">
        <v>100</v>
      </c>
      <c r="W37" s="745">
        <v>100</v>
      </c>
      <c r="X37" s="745">
        <v>100</v>
      </c>
      <c r="Y37" s="745">
        <v>100</v>
      </c>
      <c r="Z37" s="745">
        <v>100</v>
      </c>
      <c r="AA37" s="745">
        <v>100</v>
      </c>
      <c r="AB37" s="508"/>
    </row>
    <row r="38" spans="1:28" ht="19.5" customHeight="1">
      <c r="A38" s="746" t="str">
        <f>'第一號明細表'!A43</f>
        <v>路床滾壓</v>
      </c>
      <c r="B38" s="409" t="str">
        <f>'第一號明細表'!C43</f>
        <v>m2</v>
      </c>
      <c r="C38" s="410">
        <f>'第一號明細表'!F43/'預算書總表'!$F$14*100</f>
        <v>0.03</v>
      </c>
      <c r="D38" s="318">
        <f>'第一號明細表'!D43</f>
        <v>3887</v>
      </c>
      <c r="E38" s="312" t="s">
        <v>480</v>
      </c>
      <c r="F38" s="323"/>
      <c r="G38" s="323"/>
      <c r="H38" s="323"/>
      <c r="I38" s="323"/>
      <c r="J38" s="323"/>
      <c r="K38" s="323"/>
      <c r="L38" s="324"/>
      <c r="M38" s="323"/>
      <c r="N38" s="745"/>
      <c r="O38" s="745">
        <v>10</v>
      </c>
      <c r="P38" s="745">
        <v>20</v>
      </c>
      <c r="Q38" s="745">
        <v>30</v>
      </c>
      <c r="R38" s="745">
        <v>40</v>
      </c>
      <c r="S38" s="745">
        <v>50</v>
      </c>
      <c r="T38" s="745">
        <v>60</v>
      </c>
      <c r="U38" s="745">
        <v>70</v>
      </c>
      <c r="V38" s="745">
        <v>80</v>
      </c>
      <c r="W38" s="745">
        <v>90</v>
      </c>
      <c r="X38" s="745">
        <v>100</v>
      </c>
      <c r="Y38" s="745">
        <v>100</v>
      </c>
      <c r="Z38" s="745">
        <v>100</v>
      </c>
      <c r="AA38" s="745">
        <v>100</v>
      </c>
      <c r="AB38" s="508"/>
    </row>
    <row r="39" spans="1:28" ht="19.5" customHeight="1">
      <c r="A39" s="746" t="str">
        <f>'第一號明細表'!A44</f>
        <v>鋪設透層</v>
      </c>
      <c r="B39" s="409" t="str">
        <f>'第一號明細表'!C44</f>
        <v>m2</v>
      </c>
      <c r="C39" s="410">
        <f>'第一號明細表'!F44/'預算書總表'!$F$14*100</f>
        <v>0.03</v>
      </c>
      <c r="D39" s="318">
        <f>'第一號明細表'!D44</f>
        <v>3887</v>
      </c>
      <c r="E39" s="312" t="s">
        <v>480</v>
      </c>
      <c r="F39" s="323"/>
      <c r="G39" s="323"/>
      <c r="H39" s="323"/>
      <c r="I39" s="323"/>
      <c r="J39" s="323"/>
      <c r="K39" s="323"/>
      <c r="L39" s="324"/>
      <c r="M39" s="323"/>
      <c r="N39" s="745"/>
      <c r="O39" s="745">
        <v>10</v>
      </c>
      <c r="P39" s="745">
        <v>20</v>
      </c>
      <c r="Q39" s="745">
        <v>30</v>
      </c>
      <c r="R39" s="745">
        <v>40</v>
      </c>
      <c r="S39" s="745">
        <v>50</v>
      </c>
      <c r="T39" s="745">
        <v>60</v>
      </c>
      <c r="U39" s="745">
        <v>70</v>
      </c>
      <c r="V39" s="745">
        <v>80</v>
      </c>
      <c r="W39" s="745">
        <v>90</v>
      </c>
      <c r="X39" s="745">
        <v>100</v>
      </c>
      <c r="Y39" s="745">
        <v>100</v>
      </c>
      <c r="Z39" s="745">
        <v>100</v>
      </c>
      <c r="AA39" s="745">
        <v>100</v>
      </c>
      <c r="AB39" s="508"/>
    </row>
    <row r="40" spans="1:28" ht="19.5" customHeight="1">
      <c r="A40" s="746" t="str">
        <f>'第一號明細表'!A45</f>
        <v>舖設黏層(150℃  AC)</v>
      </c>
      <c r="B40" s="409" t="str">
        <f>'第一號明細表'!C45</f>
        <v>m2</v>
      </c>
      <c r="C40" s="410">
        <f>'第一號明細表'!F45/'預算書總表'!$F$14*100</f>
        <v>0.03</v>
      </c>
      <c r="D40" s="318">
        <f>'第一號明細表'!D45</f>
        <v>3887</v>
      </c>
      <c r="E40" s="312" t="s">
        <v>480</v>
      </c>
      <c r="F40" s="323"/>
      <c r="G40" s="323"/>
      <c r="H40" s="323"/>
      <c r="I40" s="323"/>
      <c r="J40" s="323"/>
      <c r="K40" s="323"/>
      <c r="L40" s="324"/>
      <c r="M40" s="323"/>
      <c r="N40" s="745"/>
      <c r="O40" s="745">
        <v>10</v>
      </c>
      <c r="P40" s="745">
        <v>20</v>
      </c>
      <c r="Q40" s="745">
        <v>30</v>
      </c>
      <c r="R40" s="745">
        <v>40</v>
      </c>
      <c r="S40" s="745">
        <v>50</v>
      </c>
      <c r="T40" s="745">
        <v>60</v>
      </c>
      <c r="U40" s="745">
        <v>70</v>
      </c>
      <c r="V40" s="745">
        <v>80</v>
      </c>
      <c r="W40" s="745">
        <v>90</v>
      </c>
      <c r="X40" s="745">
        <v>100</v>
      </c>
      <c r="Y40" s="745">
        <v>100</v>
      </c>
      <c r="Z40" s="745">
        <v>100</v>
      </c>
      <c r="AA40" s="745">
        <v>100</v>
      </c>
      <c r="AB40" s="508"/>
    </row>
    <row r="41" spans="1:28" ht="19.5" customHeight="1" thickBot="1">
      <c r="A41" s="1295" t="str">
        <f>'第一號明細表'!A46</f>
        <v>瀝青混凝土面層</v>
      </c>
      <c r="B41" s="517" t="str">
        <f>'第一號明細表'!C46</f>
        <v>m2</v>
      </c>
      <c r="C41" s="1296">
        <f>'第一號明細表'!F46/'預算書總表'!$F$14*100</f>
        <v>1.12</v>
      </c>
      <c r="D41" s="1297">
        <f>'第一號明細表'!D46</f>
        <v>3887</v>
      </c>
      <c r="E41" s="1298" t="s">
        <v>480</v>
      </c>
      <c r="F41" s="1299"/>
      <c r="G41" s="1299"/>
      <c r="H41" s="1299"/>
      <c r="I41" s="1299"/>
      <c r="J41" s="1299"/>
      <c r="K41" s="1299"/>
      <c r="L41" s="1300"/>
      <c r="M41" s="1299"/>
      <c r="N41" s="1301"/>
      <c r="O41" s="1301">
        <v>10</v>
      </c>
      <c r="P41" s="1301">
        <v>20</v>
      </c>
      <c r="Q41" s="1301">
        <v>30</v>
      </c>
      <c r="R41" s="1301">
        <v>40</v>
      </c>
      <c r="S41" s="1301">
        <v>50</v>
      </c>
      <c r="T41" s="1301">
        <v>60</v>
      </c>
      <c r="U41" s="1301">
        <v>70</v>
      </c>
      <c r="V41" s="1301">
        <v>80</v>
      </c>
      <c r="W41" s="1301">
        <v>90</v>
      </c>
      <c r="X41" s="1301">
        <v>100</v>
      </c>
      <c r="Y41" s="1301">
        <v>100</v>
      </c>
      <c r="Z41" s="1301">
        <v>100</v>
      </c>
      <c r="AA41" s="1301">
        <v>100</v>
      </c>
      <c r="AB41" s="514"/>
    </row>
    <row r="42" spans="1:9" ht="19.5" customHeight="1">
      <c r="A42" s="29"/>
      <c r="B42" s="29"/>
      <c r="C42" s="29"/>
      <c r="D42" s="29"/>
      <c r="G42" s="32"/>
      <c r="H42" s="29"/>
      <c r="I42" s="32"/>
    </row>
    <row r="43" spans="1:9" ht="19.5" customHeight="1">
      <c r="A43" s="29" t="s">
        <v>457</v>
      </c>
      <c r="B43" s="29"/>
      <c r="C43" s="29"/>
      <c r="D43" s="29"/>
      <c r="F43" s="1223"/>
      <c r="G43" s="32"/>
      <c r="H43" s="29" t="s">
        <v>458</v>
      </c>
      <c r="I43" s="32"/>
    </row>
    <row r="44" spans="1:28" ht="24.75" customHeight="1">
      <c r="A44" s="1671" t="str">
        <f>A1</f>
        <v>經濟部水利署第十河川局</v>
      </c>
      <c r="B44" s="1671"/>
      <c r="C44" s="1671"/>
      <c r="D44" s="1671"/>
      <c r="E44" s="1671"/>
      <c r="F44" s="1671"/>
      <c r="G44" s="1671"/>
      <c r="H44" s="1671"/>
      <c r="I44" s="1671"/>
      <c r="J44" s="1671"/>
      <c r="K44" s="1671"/>
      <c r="L44" s="1671"/>
      <c r="M44" s="1671"/>
      <c r="N44" s="1671"/>
      <c r="O44" s="1671"/>
      <c r="P44" s="1671"/>
      <c r="Q44" s="1671"/>
      <c r="R44" s="1671"/>
      <c r="S44" s="1671"/>
      <c r="T44" s="1671"/>
      <c r="U44" s="1671"/>
      <c r="V44" s="1671"/>
      <c r="W44" s="1671"/>
      <c r="X44" s="1671"/>
      <c r="Y44" s="1671"/>
      <c r="Z44" s="1671"/>
      <c r="AA44" s="1671"/>
      <c r="AB44" s="1512"/>
    </row>
    <row r="45" spans="1:28" ht="19.5" customHeight="1">
      <c r="A45" s="1672" t="str">
        <f>A2</f>
        <v> 工程預定進度表</v>
      </c>
      <c r="B45" s="1672"/>
      <c r="C45" s="1672"/>
      <c r="D45" s="1672"/>
      <c r="E45" s="1672"/>
      <c r="F45" s="1672"/>
      <c r="G45" s="1672"/>
      <c r="H45" s="1672"/>
      <c r="I45" s="1672"/>
      <c r="J45" s="1672"/>
      <c r="K45" s="1672"/>
      <c r="L45" s="1672"/>
      <c r="M45" s="1672"/>
      <c r="N45" s="1672"/>
      <c r="O45" s="1672"/>
      <c r="P45" s="1672"/>
      <c r="Q45" s="1672"/>
      <c r="R45" s="1672"/>
      <c r="S45" s="1672"/>
      <c r="T45" s="1672"/>
      <c r="U45" s="1672"/>
      <c r="V45" s="1672"/>
      <c r="W45" s="1672"/>
      <c r="X45" s="1672"/>
      <c r="Y45" s="1672"/>
      <c r="Z45" s="1672"/>
      <c r="AA45" s="1672"/>
      <c r="AB45" s="1511"/>
    </row>
    <row r="46" spans="1:11" ht="16.5">
      <c r="A46" s="270" t="str">
        <f>A3</f>
        <v>工程名稱:基隆河整體治理計劃（前期計劃）瑞芳區塊介壽橋下游左右岸護岸工程</v>
      </c>
      <c r="B46" s="270"/>
      <c r="C46" s="270"/>
      <c r="D46" s="309"/>
      <c r="E46" s="270"/>
      <c r="F46" s="270"/>
      <c r="K46" s="273"/>
    </row>
    <row r="47" spans="1:28" ht="16.5">
      <c r="A47" s="271" t="str">
        <f>A4</f>
        <v>施工地點：台北縣瑞芳鎮</v>
      </c>
      <c r="B47" s="271"/>
      <c r="C47" s="271"/>
      <c r="D47" s="1673" t="s">
        <v>1360</v>
      </c>
      <c r="E47" s="1511"/>
      <c r="F47" s="1511"/>
      <c r="G47" s="1511"/>
      <c r="H47" s="1511"/>
      <c r="I47" s="1511"/>
      <c r="J47" s="1511"/>
      <c r="K47" s="1511"/>
      <c r="L47" s="1511"/>
      <c r="M47" s="1511"/>
      <c r="N47" s="1511"/>
      <c r="O47" s="1511"/>
      <c r="P47" s="1511"/>
      <c r="Q47" s="1511"/>
      <c r="R47" s="1511"/>
      <c r="S47" s="1511"/>
      <c r="T47" s="1511"/>
      <c r="U47" s="1511"/>
      <c r="V47" s="1511"/>
      <c r="W47" s="1511"/>
      <c r="X47" s="1511"/>
      <c r="Y47" s="1511"/>
      <c r="Z47" s="1511"/>
      <c r="AA47" s="1511"/>
      <c r="AB47" s="1511"/>
    </row>
    <row r="48" spans="1:27" ht="17.25" thickBot="1">
      <c r="A48" s="271"/>
      <c r="B48" s="271"/>
      <c r="C48" s="271"/>
      <c r="D48" s="310"/>
      <c r="F48" s="252" t="s">
        <v>824</v>
      </c>
      <c r="H48" s="274"/>
      <c r="AA48" s="1304" t="s">
        <v>1338</v>
      </c>
    </row>
    <row r="49" spans="1:28" ht="12" customHeight="1">
      <c r="A49" s="1674" t="s">
        <v>555</v>
      </c>
      <c r="B49" s="1676" t="s">
        <v>541</v>
      </c>
      <c r="C49" s="1676" t="s">
        <v>556</v>
      </c>
      <c r="D49" s="1676" t="s">
        <v>557</v>
      </c>
      <c r="E49" s="1678"/>
      <c r="F49" s="1669" t="s">
        <v>945</v>
      </c>
      <c r="G49" s="1670"/>
      <c r="H49" s="1670"/>
      <c r="I49" s="1670"/>
      <c r="J49" s="1670"/>
      <c r="K49" s="1670"/>
      <c r="L49" s="1670"/>
      <c r="M49" s="1670"/>
      <c r="N49" s="1670"/>
      <c r="O49" s="1670"/>
      <c r="P49" s="1670"/>
      <c r="Q49" s="1670"/>
      <c r="R49" s="1670"/>
      <c r="S49" s="1670"/>
      <c r="T49" s="1670"/>
      <c r="U49" s="1670"/>
      <c r="V49" s="1557"/>
      <c r="W49" s="1557"/>
      <c r="X49" s="1557"/>
      <c r="Y49" s="1557"/>
      <c r="Z49" s="1557"/>
      <c r="AA49" s="1558"/>
      <c r="AB49" s="313" t="s">
        <v>558</v>
      </c>
    </row>
    <row r="50" spans="1:28" ht="12" customHeight="1">
      <c r="A50" s="1675"/>
      <c r="B50" s="1677"/>
      <c r="C50" s="1677"/>
      <c r="D50" s="1677"/>
      <c r="E50" s="1677"/>
      <c r="F50" s="1667" t="s">
        <v>1293</v>
      </c>
      <c r="G50" s="1668"/>
      <c r="H50" s="1667" t="s">
        <v>941</v>
      </c>
      <c r="I50" s="1668"/>
      <c r="J50" s="1667" t="s">
        <v>942</v>
      </c>
      <c r="K50" s="1668"/>
      <c r="L50" s="1667" t="s">
        <v>943</v>
      </c>
      <c r="M50" s="1668"/>
      <c r="N50" s="1667" t="s">
        <v>934</v>
      </c>
      <c r="O50" s="1668"/>
      <c r="P50" s="1667" t="s">
        <v>935</v>
      </c>
      <c r="Q50" s="1668"/>
      <c r="R50" s="1667" t="s">
        <v>944</v>
      </c>
      <c r="S50" s="1668"/>
      <c r="T50" s="1667" t="s">
        <v>1290</v>
      </c>
      <c r="U50" s="1668"/>
      <c r="V50" s="1667" t="s">
        <v>1291</v>
      </c>
      <c r="W50" s="1668"/>
      <c r="X50" s="1667" t="s">
        <v>1292</v>
      </c>
      <c r="Y50" s="1668"/>
      <c r="Z50" s="1667" t="s">
        <v>1294</v>
      </c>
      <c r="AA50" s="1668"/>
      <c r="AB50" s="316"/>
    </row>
    <row r="51" spans="1:28" ht="12" customHeight="1">
      <c r="A51" s="1675"/>
      <c r="B51" s="1677"/>
      <c r="C51" s="1677"/>
      <c r="D51" s="1677"/>
      <c r="E51" s="1677"/>
      <c r="F51" s="320" t="s">
        <v>563</v>
      </c>
      <c r="G51" s="320" t="s">
        <v>564</v>
      </c>
      <c r="H51" s="320" t="s">
        <v>563</v>
      </c>
      <c r="I51" s="320" t="s">
        <v>564</v>
      </c>
      <c r="J51" s="320" t="s">
        <v>563</v>
      </c>
      <c r="K51" s="320" t="s">
        <v>564</v>
      </c>
      <c r="L51" s="320" t="s">
        <v>563</v>
      </c>
      <c r="M51" s="321" t="s">
        <v>564</v>
      </c>
      <c r="N51" s="320" t="s">
        <v>563</v>
      </c>
      <c r="O51" s="321" t="s">
        <v>564</v>
      </c>
      <c r="P51" s="320" t="s">
        <v>563</v>
      </c>
      <c r="Q51" s="321" t="s">
        <v>564</v>
      </c>
      <c r="R51" s="320" t="s">
        <v>563</v>
      </c>
      <c r="S51" s="321" t="s">
        <v>564</v>
      </c>
      <c r="T51" s="320" t="s">
        <v>563</v>
      </c>
      <c r="U51" s="321" t="s">
        <v>564</v>
      </c>
      <c r="V51" s="320" t="s">
        <v>563</v>
      </c>
      <c r="W51" s="321" t="s">
        <v>564</v>
      </c>
      <c r="X51" s="320" t="s">
        <v>563</v>
      </c>
      <c r="Y51" s="321" t="s">
        <v>564</v>
      </c>
      <c r="Z51" s="1222" t="s">
        <v>1448</v>
      </c>
      <c r="AA51" s="1402" t="s">
        <v>1449</v>
      </c>
      <c r="AB51" s="316"/>
    </row>
    <row r="52" spans="1:28" ht="12" customHeight="1">
      <c r="A52" s="1675"/>
      <c r="B52" s="1677"/>
      <c r="C52" s="1677"/>
      <c r="D52" s="1677"/>
      <c r="E52" s="1677"/>
      <c r="F52" s="322"/>
      <c r="G52" s="322">
        <v>6</v>
      </c>
      <c r="H52" s="322">
        <v>20</v>
      </c>
      <c r="I52" s="322">
        <v>35</v>
      </c>
      <c r="J52" s="322">
        <v>51</v>
      </c>
      <c r="K52" s="322">
        <v>66</v>
      </c>
      <c r="L52" s="322">
        <v>81</v>
      </c>
      <c r="M52" s="322">
        <v>96</v>
      </c>
      <c r="N52" s="732">
        <v>112</v>
      </c>
      <c r="O52" s="732">
        <v>127</v>
      </c>
      <c r="P52" s="732">
        <v>142</v>
      </c>
      <c r="Q52" s="732">
        <v>157</v>
      </c>
      <c r="R52" s="732">
        <v>173</v>
      </c>
      <c r="S52" s="732">
        <v>188</v>
      </c>
      <c r="T52" s="732">
        <v>204</v>
      </c>
      <c r="U52" s="732">
        <v>219</v>
      </c>
      <c r="V52" s="732">
        <v>234</v>
      </c>
      <c r="W52" s="732">
        <v>249</v>
      </c>
      <c r="X52" s="732">
        <v>265</v>
      </c>
      <c r="Y52" s="732">
        <v>280</v>
      </c>
      <c r="Z52" s="732">
        <v>295</v>
      </c>
      <c r="AA52" s="732">
        <v>300</v>
      </c>
      <c r="AB52" s="317"/>
    </row>
    <row r="53" spans="1:28" ht="19.5" customHeight="1">
      <c r="A53" s="746" t="str">
        <f>'第一號明細表'!A47</f>
        <v>預鑄緣石</v>
      </c>
      <c r="B53" s="409" t="str">
        <f>'第一號明細表'!C47</f>
        <v>m</v>
      </c>
      <c r="C53" s="410">
        <f>'第一號明細表'!F47/'預算書總表'!$F$14*100</f>
        <v>0.16</v>
      </c>
      <c r="D53" s="318">
        <f>'第一號明細表'!D47</f>
        <v>408</v>
      </c>
      <c r="E53" s="312" t="s">
        <v>480</v>
      </c>
      <c r="F53" s="323"/>
      <c r="G53" s="323"/>
      <c r="H53" s="323"/>
      <c r="I53" s="323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>
        <v>25</v>
      </c>
      <c r="U53" s="745">
        <v>50</v>
      </c>
      <c r="V53" s="745">
        <v>75</v>
      </c>
      <c r="W53" s="745">
        <v>100</v>
      </c>
      <c r="X53" s="745">
        <v>100</v>
      </c>
      <c r="Y53" s="745">
        <v>100</v>
      </c>
      <c r="Z53" s="745">
        <v>100</v>
      </c>
      <c r="AA53" s="745">
        <v>100</v>
      </c>
      <c r="AB53" s="508"/>
    </row>
    <row r="54" spans="1:28" ht="19.5" customHeight="1">
      <c r="A54" s="746" t="str">
        <f>'第一號明細表'!A48</f>
        <v>仿木欄杆</v>
      </c>
      <c r="B54" s="409" t="str">
        <f>'第一號明細表'!C48</f>
        <v>組</v>
      </c>
      <c r="C54" s="410">
        <f>'第一號明細表'!F48/'預算書總表'!$F$14*100</f>
        <v>1.62</v>
      </c>
      <c r="D54" s="318">
        <f>'第一號明細表'!D48</f>
        <v>433</v>
      </c>
      <c r="E54" s="312" t="s">
        <v>480</v>
      </c>
      <c r="F54" s="323"/>
      <c r="G54" s="323"/>
      <c r="H54" s="323"/>
      <c r="I54" s="323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>
        <v>25</v>
      </c>
      <c r="U54" s="745">
        <v>50</v>
      </c>
      <c r="V54" s="745">
        <v>75</v>
      </c>
      <c r="W54" s="745">
        <v>100</v>
      </c>
      <c r="X54" s="745">
        <v>100</v>
      </c>
      <c r="Y54" s="745">
        <v>100</v>
      </c>
      <c r="Z54" s="745">
        <v>100</v>
      </c>
      <c r="AA54" s="745">
        <v>100</v>
      </c>
      <c r="AB54" s="508"/>
    </row>
    <row r="55" spans="1:28" ht="19.5" customHeight="1">
      <c r="A55" s="746" t="str">
        <f>'第一號明細表'!A49</f>
        <v>仿竹欄杆</v>
      </c>
      <c r="B55" s="409" t="str">
        <f>'第一號明細表'!C49</f>
        <v>組</v>
      </c>
      <c r="C55" s="410">
        <f>'第一號明細表'!F49/'預算書總表'!$F$14*100</f>
        <v>2.92</v>
      </c>
      <c r="D55" s="318">
        <f>'第一號明細表'!D49</f>
        <v>780</v>
      </c>
      <c r="E55" s="312" t="s">
        <v>480</v>
      </c>
      <c r="F55" s="323"/>
      <c r="G55" s="323"/>
      <c r="H55" s="323"/>
      <c r="I55" s="323"/>
      <c r="J55" s="745"/>
      <c r="K55" s="745"/>
      <c r="L55" s="745"/>
      <c r="M55" s="745"/>
      <c r="N55" s="745"/>
      <c r="O55" s="745"/>
      <c r="P55" s="745"/>
      <c r="Q55" s="745"/>
      <c r="R55" s="745"/>
      <c r="S55" s="745"/>
      <c r="T55" s="745">
        <v>25</v>
      </c>
      <c r="U55" s="745">
        <v>50</v>
      </c>
      <c r="V55" s="745">
        <v>75</v>
      </c>
      <c r="W55" s="745">
        <v>100</v>
      </c>
      <c r="X55" s="745">
        <v>100</v>
      </c>
      <c r="Y55" s="745">
        <v>100</v>
      </c>
      <c r="Z55" s="745">
        <v>100</v>
      </c>
      <c r="AA55" s="745">
        <v>100</v>
      </c>
      <c r="AB55" s="508"/>
    </row>
    <row r="56" spans="1:28" ht="19.5" customHeight="1">
      <c r="A56" s="746" t="str">
        <f>'第一號明細表'!A50</f>
        <v>工程告示牌</v>
      </c>
      <c r="B56" s="409" t="str">
        <f>'第一號明細表'!C50</f>
        <v>面</v>
      </c>
      <c r="C56" s="410">
        <f>'第一號明細表'!F50/'預算書總表'!$F$14*100</f>
        <v>0.01</v>
      </c>
      <c r="D56" s="318">
        <f>'第一號明細表'!D50</f>
        <v>2</v>
      </c>
      <c r="E56" s="312" t="s">
        <v>480</v>
      </c>
      <c r="F56" s="323"/>
      <c r="G56" s="323">
        <v>50</v>
      </c>
      <c r="H56" s="323">
        <v>100</v>
      </c>
      <c r="I56" s="323">
        <v>100</v>
      </c>
      <c r="J56" s="323">
        <v>100</v>
      </c>
      <c r="K56" s="323">
        <v>100</v>
      </c>
      <c r="L56" s="323">
        <v>100</v>
      </c>
      <c r="M56" s="323">
        <v>100</v>
      </c>
      <c r="N56" s="323">
        <v>100</v>
      </c>
      <c r="O56" s="323">
        <v>100</v>
      </c>
      <c r="P56" s="323">
        <v>100</v>
      </c>
      <c r="Q56" s="323">
        <v>100</v>
      </c>
      <c r="R56" s="323">
        <v>100</v>
      </c>
      <c r="S56" s="323">
        <v>100</v>
      </c>
      <c r="T56" s="323">
        <v>100</v>
      </c>
      <c r="U56" s="323">
        <v>100</v>
      </c>
      <c r="V56" s="323">
        <v>100</v>
      </c>
      <c r="W56" s="323">
        <v>100</v>
      </c>
      <c r="X56" s="323">
        <v>100</v>
      </c>
      <c r="Y56" s="323">
        <v>100</v>
      </c>
      <c r="Z56" s="323">
        <v>100</v>
      </c>
      <c r="AA56" s="745">
        <v>100</v>
      </c>
      <c r="AB56" s="508"/>
    </row>
    <row r="57" spans="1:28" ht="19.5" customHeight="1">
      <c r="A57" s="746" t="str">
        <f>'第一號明細表'!A51</f>
        <v>完工告示牌（B式）</v>
      </c>
      <c r="B57" s="409" t="str">
        <f>'第一號明細表'!C51</f>
        <v>面</v>
      </c>
      <c r="C57" s="410">
        <f>'第一號明細表'!F51/'預算書總表'!$F$14*100</f>
        <v>0</v>
      </c>
      <c r="D57" s="318">
        <f>'第一號明細表'!D51</f>
        <v>1</v>
      </c>
      <c r="E57" s="312" t="s">
        <v>480</v>
      </c>
      <c r="F57" s="323"/>
      <c r="G57" s="323"/>
      <c r="H57" s="323"/>
      <c r="I57" s="323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745"/>
      <c r="Y57" s="745">
        <v>50</v>
      </c>
      <c r="Z57" s="745">
        <v>100</v>
      </c>
      <c r="AA57" s="745">
        <v>100</v>
      </c>
      <c r="AB57" s="508"/>
    </row>
    <row r="58" spans="1:28" ht="19.5" customHeight="1">
      <c r="A58" s="746" t="str">
        <f>'第一號明細表'!A52</f>
        <v>警告標示牌（F式）</v>
      </c>
      <c r="B58" s="409" t="str">
        <f>'第一號明細表'!C52</f>
        <v>面</v>
      </c>
      <c r="C58" s="410">
        <f>'第一號明細表'!F52/'預算書總表'!$F$14*100</f>
        <v>0.01</v>
      </c>
      <c r="D58" s="318">
        <f>'第一號明細表'!D52</f>
        <v>3</v>
      </c>
      <c r="E58" s="312" t="s">
        <v>480</v>
      </c>
      <c r="F58" s="323"/>
      <c r="G58" s="323">
        <v>50</v>
      </c>
      <c r="H58" s="323">
        <v>100</v>
      </c>
      <c r="I58" s="323">
        <v>100</v>
      </c>
      <c r="J58" s="323">
        <v>100</v>
      </c>
      <c r="K58" s="323">
        <v>100</v>
      </c>
      <c r="L58" s="323">
        <v>100</v>
      </c>
      <c r="M58" s="323">
        <v>100</v>
      </c>
      <c r="N58" s="323">
        <v>100</v>
      </c>
      <c r="O58" s="323">
        <v>100</v>
      </c>
      <c r="P58" s="323">
        <v>100</v>
      </c>
      <c r="Q58" s="323">
        <v>100</v>
      </c>
      <c r="R58" s="323">
        <v>100</v>
      </c>
      <c r="S58" s="323">
        <v>100</v>
      </c>
      <c r="T58" s="323">
        <v>100</v>
      </c>
      <c r="U58" s="323">
        <v>100</v>
      </c>
      <c r="V58" s="323">
        <v>100</v>
      </c>
      <c r="W58" s="323">
        <v>100</v>
      </c>
      <c r="X58" s="323">
        <v>100</v>
      </c>
      <c r="Y58" s="323">
        <v>100</v>
      </c>
      <c r="Z58" s="323">
        <v>100</v>
      </c>
      <c r="AA58" s="745">
        <v>100</v>
      </c>
      <c r="AB58" s="508"/>
    </row>
    <row r="59" spans="1:28" ht="19.5" customHeight="1">
      <c r="A59" s="746" t="str">
        <f>'第一號明細表'!A53</f>
        <v>HDPE透水管,50mm∮</v>
      </c>
      <c r="B59" s="409" t="str">
        <f>'第一號明細表'!C53</f>
        <v>支</v>
      </c>
      <c r="C59" s="410">
        <f>'第一號明細表'!F53/'預算書總表'!$F$14*100</f>
        <v>0.01</v>
      </c>
      <c r="D59" s="318">
        <f>'第一號明細表'!D53</f>
        <v>124</v>
      </c>
      <c r="E59" s="312" t="s">
        <v>480</v>
      </c>
      <c r="F59" s="323"/>
      <c r="G59" s="323"/>
      <c r="H59" s="323"/>
      <c r="I59" s="323"/>
      <c r="J59" s="745"/>
      <c r="K59" s="745"/>
      <c r="L59" s="745"/>
      <c r="M59" s="323">
        <v>9</v>
      </c>
      <c r="N59" s="745">
        <v>18</v>
      </c>
      <c r="O59" s="745">
        <v>27</v>
      </c>
      <c r="P59" s="745">
        <v>36</v>
      </c>
      <c r="Q59" s="745">
        <v>45</v>
      </c>
      <c r="R59" s="745">
        <v>54</v>
      </c>
      <c r="S59" s="745">
        <v>63</v>
      </c>
      <c r="T59" s="745">
        <v>72</v>
      </c>
      <c r="U59" s="745">
        <v>81</v>
      </c>
      <c r="V59" s="745">
        <v>90</v>
      </c>
      <c r="W59" s="745">
        <v>100</v>
      </c>
      <c r="X59" s="323">
        <v>100</v>
      </c>
      <c r="Y59" s="323">
        <v>100</v>
      </c>
      <c r="Z59" s="323">
        <v>100</v>
      </c>
      <c r="AA59" s="745">
        <v>100</v>
      </c>
      <c r="AB59" s="508"/>
    </row>
    <row r="60" spans="1:28" ht="19.5" customHeight="1">
      <c r="A60" s="746" t="str">
        <f>'第一號明細表'!A54</f>
        <v>∮22mm不鏽鋼踏步</v>
      </c>
      <c r="B60" s="409" t="str">
        <f>'第一號明細表'!C54</f>
        <v>支</v>
      </c>
      <c r="C60" s="410">
        <f>'第一號明細表'!F54/'預算書總表'!$F$14*100</f>
        <v>0.01</v>
      </c>
      <c r="D60" s="318">
        <f>'第一號明細表'!D54</f>
        <v>66</v>
      </c>
      <c r="E60" s="312" t="s">
        <v>480</v>
      </c>
      <c r="F60" s="323"/>
      <c r="G60" s="323"/>
      <c r="H60" s="323"/>
      <c r="I60" s="323"/>
      <c r="J60" s="745"/>
      <c r="K60" s="745"/>
      <c r="L60" s="745"/>
      <c r="M60" s="323">
        <v>20</v>
      </c>
      <c r="N60" s="745">
        <v>40</v>
      </c>
      <c r="O60" s="745">
        <v>60</v>
      </c>
      <c r="P60" s="745">
        <v>80</v>
      </c>
      <c r="Q60" s="745">
        <v>100</v>
      </c>
      <c r="R60" s="745">
        <v>100</v>
      </c>
      <c r="S60" s="745">
        <v>100</v>
      </c>
      <c r="T60" s="745">
        <v>100</v>
      </c>
      <c r="U60" s="745">
        <v>100</v>
      </c>
      <c r="V60" s="745">
        <v>100</v>
      </c>
      <c r="W60" s="745">
        <v>100</v>
      </c>
      <c r="X60" s="323">
        <v>100</v>
      </c>
      <c r="Y60" s="323">
        <v>100</v>
      </c>
      <c r="Z60" s="323">
        <v>100</v>
      </c>
      <c r="AA60" s="745">
        <v>100</v>
      </c>
      <c r="AB60" s="508"/>
    </row>
    <row r="61" spans="1:28" ht="19.5" customHeight="1">
      <c r="A61" s="746" t="str">
        <f>'第一號明細表'!A55</f>
        <v>∮800mm混凝土管埋設 </v>
      </c>
      <c r="B61" s="409" t="str">
        <f>'第一號明細表'!C55</f>
        <v>m</v>
      </c>
      <c r="C61" s="410">
        <f>'第一號明細表'!F55/'預算書總表'!$F$14*100</f>
        <v>0.09</v>
      </c>
      <c r="D61" s="318">
        <f>'第一號明細表'!D55</f>
        <v>13</v>
      </c>
      <c r="E61" s="312" t="s">
        <v>480</v>
      </c>
      <c r="F61" s="323"/>
      <c r="G61" s="323"/>
      <c r="H61" s="323"/>
      <c r="I61" s="323"/>
      <c r="J61" s="745"/>
      <c r="K61" s="745"/>
      <c r="L61" s="745"/>
      <c r="M61" s="323">
        <v>20</v>
      </c>
      <c r="N61" s="745">
        <v>40</v>
      </c>
      <c r="O61" s="745">
        <v>60</v>
      </c>
      <c r="P61" s="745">
        <v>80</v>
      </c>
      <c r="Q61" s="745">
        <v>100</v>
      </c>
      <c r="R61" s="745">
        <v>100</v>
      </c>
      <c r="S61" s="745">
        <v>100</v>
      </c>
      <c r="T61" s="745">
        <v>100</v>
      </c>
      <c r="U61" s="745">
        <v>100</v>
      </c>
      <c r="V61" s="745">
        <v>100</v>
      </c>
      <c r="W61" s="745">
        <v>100</v>
      </c>
      <c r="X61" s="323">
        <v>100</v>
      </c>
      <c r="Y61" s="323">
        <v>100</v>
      </c>
      <c r="Z61" s="323">
        <v>100</v>
      </c>
      <c r="AA61" s="745">
        <v>100</v>
      </c>
      <c r="AB61" s="508"/>
    </row>
    <row r="62" spans="1:28" ht="19.5" customHeight="1">
      <c r="A62" s="746" t="str">
        <f>'第一號明細表'!A64</f>
        <v>漿砌塊石φ平均20CM</v>
      </c>
      <c r="B62" s="409" t="str">
        <f>'第一號明細表'!C64</f>
        <v>m</v>
      </c>
      <c r="C62" s="410">
        <f>'第一號明細表'!F64/'預算書總表'!$F$14*100</f>
        <v>0.03</v>
      </c>
      <c r="D62" s="318">
        <f>'第一號明細表'!D64</f>
        <v>55</v>
      </c>
      <c r="E62" s="312" t="s">
        <v>480</v>
      </c>
      <c r="F62" s="323"/>
      <c r="G62" s="323"/>
      <c r="H62" s="323"/>
      <c r="I62" s="323"/>
      <c r="J62" s="745"/>
      <c r="K62" s="745"/>
      <c r="L62" s="745"/>
      <c r="M62" s="323"/>
      <c r="N62" s="745"/>
      <c r="O62" s="745"/>
      <c r="P62" s="745"/>
      <c r="Q62" s="745"/>
      <c r="R62" s="745"/>
      <c r="S62" s="745"/>
      <c r="T62" s="745">
        <v>25</v>
      </c>
      <c r="U62" s="745">
        <v>50</v>
      </c>
      <c r="V62" s="745">
        <v>75</v>
      </c>
      <c r="W62" s="745">
        <v>100</v>
      </c>
      <c r="X62" s="323">
        <v>100</v>
      </c>
      <c r="Y62" s="323">
        <v>100</v>
      </c>
      <c r="Z62" s="323">
        <v>100</v>
      </c>
      <c r="AA62" s="745">
        <v>100</v>
      </c>
      <c r="AB62" s="508"/>
    </row>
    <row r="63" spans="1:28" ht="19.5" customHeight="1">
      <c r="A63" s="746" t="str">
        <f>'第一號明細表'!A65</f>
        <v>鑄鐵止滑條</v>
      </c>
      <c r="B63" s="409" t="str">
        <f>'第一號明細表'!C65</f>
        <v>M</v>
      </c>
      <c r="C63" s="410">
        <f>'第一號明細表'!F65/'預算書總表'!$F$14*100</f>
        <v>0.01</v>
      </c>
      <c r="D63" s="318">
        <f>'第一號明細表'!D65</f>
        <v>61</v>
      </c>
      <c r="E63" s="312" t="s">
        <v>480</v>
      </c>
      <c r="F63" s="323"/>
      <c r="G63" s="323"/>
      <c r="H63" s="323"/>
      <c r="I63" s="323"/>
      <c r="J63" s="745"/>
      <c r="K63" s="745"/>
      <c r="L63" s="745"/>
      <c r="M63" s="323"/>
      <c r="N63" s="745"/>
      <c r="O63" s="745"/>
      <c r="P63" s="745"/>
      <c r="Q63" s="745"/>
      <c r="R63" s="745"/>
      <c r="S63" s="745"/>
      <c r="T63" s="745">
        <v>25</v>
      </c>
      <c r="U63" s="745">
        <v>50</v>
      </c>
      <c r="V63" s="745">
        <v>75</v>
      </c>
      <c r="W63" s="745">
        <v>100</v>
      </c>
      <c r="X63" s="323">
        <v>100</v>
      </c>
      <c r="Y63" s="323">
        <v>100</v>
      </c>
      <c r="Z63" s="323">
        <v>100</v>
      </c>
      <c r="AA63" s="745">
        <v>100</v>
      </c>
      <c r="AB63" s="508"/>
    </row>
    <row r="64" spans="1:28" ht="19.5" customHeight="1">
      <c r="A64" s="746" t="str">
        <f>'第一號明細表'!A66</f>
        <v>箱涵伸縮縫</v>
      </c>
      <c r="B64" s="409" t="str">
        <f>'第一號明細表'!C66</f>
        <v>處</v>
      </c>
      <c r="C64" s="410">
        <f>'第一號明細表'!F66/'預算書總表'!$F$14*100</f>
        <v>0.15</v>
      </c>
      <c r="D64" s="318">
        <f>'第一號明細表'!D66</f>
        <v>30</v>
      </c>
      <c r="E64" s="312" t="s">
        <v>480</v>
      </c>
      <c r="F64" s="323"/>
      <c r="G64" s="323"/>
      <c r="H64" s="323"/>
      <c r="I64" s="323"/>
      <c r="J64" s="745"/>
      <c r="K64" s="745"/>
      <c r="L64" s="745"/>
      <c r="M64" s="323">
        <v>9</v>
      </c>
      <c r="N64" s="745">
        <v>18</v>
      </c>
      <c r="O64" s="745">
        <v>27</v>
      </c>
      <c r="P64" s="745">
        <v>36</v>
      </c>
      <c r="Q64" s="745">
        <v>45</v>
      </c>
      <c r="R64" s="745">
        <v>54</v>
      </c>
      <c r="S64" s="745">
        <v>63</v>
      </c>
      <c r="T64" s="745">
        <v>72</v>
      </c>
      <c r="U64" s="745">
        <v>81</v>
      </c>
      <c r="V64" s="745">
        <v>90</v>
      </c>
      <c r="W64" s="745">
        <v>100</v>
      </c>
      <c r="X64" s="323">
        <v>100</v>
      </c>
      <c r="Y64" s="323">
        <v>100</v>
      </c>
      <c r="Z64" s="323">
        <v>100</v>
      </c>
      <c r="AA64" s="745">
        <v>100</v>
      </c>
      <c r="AB64" s="508"/>
    </row>
    <row r="65" spans="1:28" ht="19.5" customHeight="1">
      <c r="A65" s="746" t="str">
        <f>'第一號明細表'!A67</f>
        <v> U型側溝（1M×1M）伸縮縫</v>
      </c>
      <c r="B65" s="409" t="str">
        <f>'第一號明細表'!C67</f>
        <v>處</v>
      </c>
      <c r="C65" s="410">
        <f>'第一號明細表'!F67/'預算書總表'!$F$14*100</f>
        <v>0.03</v>
      </c>
      <c r="D65" s="318">
        <f>'第一號明細表'!D67</f>
        <v>36</v>
      </c>
      <c r="E65" s="312" t="s">
        <v>480</v>
      </c>
      <c r="F65" s="323"/>
      <c r="G65" s="323"/>
      <c r="H65" s="323"/>
      <c r="I65" s="323"/>
      <c r="J65" s="745"/>
      <c r="K65" s="745"/>
      <c r="L65" s="745"/>
      <c r="M65" s="323">
        <v>9</v>
      </c>
      <c r="N65" s="745">
        <v>18</v>
      </c>
      <c r="O65" s="745">
        <v>27</v>
      </c>
      <c r="P65" s="745">
        <v>36</v>
      </c>
      <c r="Q65" s="745">
        <v>45</v>
      </c>
      <c r="R65" s="745">
        <v>54</v>
      </c>
      <c r="S65" s="745">
        <v>63</v>
      </c>
      <c r="T65" s="745">
        <v>72</v>
      </c>
      <c r="U65" s="745">
        <v>81</v>
      </c>
      <c r="V65" s="745">
        <v>90</v>
      </c>
      <c r="W65" s="745">
        <v>100</v>
      </c>
      <c r="X65" s="323">
        <v>100</v>
      </c>
      <c r="Y65" s="323">
        <v>100</v>
      </c>
      <c r="Z65" s="323">
        <v>100</v>
      </c>
      <c r="AA65" s="745">
        <v>100</v>
      </c>
      <c r="AB65" s="508"/>
    </row>
    <row r="66" spans="1:28" ht="19.5" customHeight="1">
      <c r="A66" s="746" t="str">
        <f>'第一號明細表'!A68</f>
        <v> U型側溝（0.8M×1M）伸縮縫</v>
      </c>
      <c r="B66" s="409" t="str">
        <f>'第一號明細表'!C68</f>
        <v>處</v>
      </c>
      <c r="C66" s="410">
        <f>'第一號明細表'!F68/'預算書總表'!$F$14*100</f>
        <v>0.02</v>
      </c>
      <c r="D66" s="318">
        <f>'第一號明細表'!D68</f>
        <v>22</v>
      </c>
      <c r="E66" s="312" t="s">
        <v>480</v>
      </c>
      <c r="F66" s="323"/>
      <c r="G66" s="323"/>
      <c r="H66" s="323"/>
      <c r="I66" s="323"/>
      <c r="J66" s="745"/>
      <c r="K66" s="745"/>
      <c r="L66" s="745"/>
      <c r="M66" s="323">
        <v>9</v>
      </c>
      <c r="N66" s="745">
        <v>18</v>
      </c>
      <c r="O66" s="745">
        <v>27</v>
      </c>
      <c r="P66" s="745">
        <v>36</v>
      </c>
      <c r="Q66" s="745">
        <v>45</v>
      </c>
      <c r="R66" s="745">
        <v>54</v>
      </c>
      <c r="S66" s="745">
        <v>63</v>
      </c>
      <c r="T66" s="745">
        <v>72</v>
      </c>
      <c r="U66" s="745">
        <v>81</v>
      </c>
      <c r="V66" s="745">
        <v>90</v>
      </c>
      <c r="W66" s="745">
        <v>100</v>
      </c>
      <c r="X66" s="323">
        <v>100</v>
      </c>
      <c r="Y66" s="323">
        <v>100</v>
      </c>
      <c r="Z66" s="323">
        <v>100</v>
      </c>
      <c r="AA66" s="745">
        <v>100</v>
      </c>
      <c r="AB66" s="508"/>
    </row>
    <row r="67" spans="1:28" ht="19.5" customHeight="1">
      <c r="A67" s="746" t="str">
        <f>'第一號明細表'!A69</f>
        <v>植生槽</v>
      </c>
      <c r="B67" s="409" t="str">
        <f>'第一號明細表'!C69</f>
        <v>m</v>
      </c>
      <c r="C67" s="410">
        <f>'第一號明細表'!F69/'預算書總表'!$F$14*100</f>
        <v>0.1</v>
      </c>
      <c r="D67" s="318">
        <f>'第一號明細表'!D69</f>
        <v>408</v>
      </c>
      <c r="E67" s="312" t="s">
        <v>480</v>
      </c>
      <c r="F67" s="323"/>
      <c r="G67" s="323"/>
      <c r="H67" s="323"/>
      <c r="I67" s="323"/>
      <c r="J67" s="745"/>
      <c r="K67" s="745"/>
      <c r="L67" s="745"/>
      <c r="M67" s="323"/>
      <c r="N67" s="745"/>
      <c r="O67" s="745"/>
      <c r="P67" s="745"/>
      <c r="Q67" s="745"/>
      <c r="R67" s="745"/>
      <c r="S67" s="745"/>
      <c r="T67" s="745"/>
      <c r="U67" s="745"/>
      <c r="V67" s="745">
        <v>25</v>
      </c>
      <c r="W67" s="745">
        <v>50</v>
      </c>
      <c r="X67" s="323">
        <v>75</v>
      </c>
      <c r="Y67" s="745">
        <v>100</v>
      </c>
      <c r="Z67" s="745">
        <v>100</v>
      </c>
      <c r="AA67" s="745">
        <v>100</v>
      </c>
      <c r="AB67" s="508"/>
    </row>
    <row r="68" spans="1:28" ht="19.5" customHeight="1">
      <c r="A68" s="746" t="str">
        <f>'第一號明細表'!A70</f>
        <v>台灣巒樹</v>
      </c>
      <c r="B68" s="409" t="str">
        <f>'第一號明細表'!C70</f>
        <v>株</v>
      </c>
      <c r="C68" s="410">
        <f>'第一號明細表'!F70/'預算書總表'!$F$14*100</f>
        <v>0.27</v>
      </c>
      <c r="D68" s="318">
        <f>'第一號明細表'!D70</f>
        <v>166</v>
      </c>
      <c r="E68" s="312" t="s">
        <v>480</v>
      </c>
      <c r="F68" s="323"/>
      <c r="G68" s="323"/>
      <c r="H68" s="323"/>
      <c r="I68" s="323"/>
      <c r="J68" s="745"/>
      <c r="K68" s="745"/>
      <c r="L68" s="745"/>
      <c r="M68" s="323"/>
      <c r="N68" s="745"/>
      <c r="O68" s="745"/>
      <c r="P68" s="745"/>
      <c r="Q68" s="745"/>
      <c r="R68" s="745"/>
      <c r="S68" s="745"/>
      <c r="T68" s="745"/>
      <c r="U68" s="745"/>
      <c r="V68" s="745">
        <v>25</v>
      </c>
      <c r="W68" s="745">
        <v>50</v>
      </c>
      <c r="X68" s="323">
        <v>75</v>
      </c>
      <c r="Y68" s="745">
        <v>100</v>
      </c>
      <c r="Z68" s="745">
        <v>100</v>
      </c>
      <c r="AA68" s="745">
        <v>100</v>
      </c>
      <c r="AB68" s="508"/>
    </row>
    <row r="69" spans="1:28" ht="19.5" customHeight="1">
      <c r="A69" s="746" t="str">
        <f>'第一號明細表'!A71</f>
        <v>高壓彩色連鎖地磚</v>
      </c>
      <c r="B69" s="409" t="str">
        <f>'第一號明細表'!C71</f>
        <v>M2</v>
      </c>
      <c r="C69" s="410">
        <f>'第一號明細表'!F71/'預算書總表'!$F$14*100</f>
        <v>0.2</v>
      </c>
      <c r="D69" s="318">
        <f>'第一號明細表'!D71</f>
        <v>408</v>
      </c>
      <c r="E69" s="312" t="s">
        <v>480</v>
      </c>
      <c r="F69" s="323"/>
      <c r="G69" s="323"/>
      <c r="H69" s="323"/>
      <c r="I69" s="323"/>
      <c r="J69" s="745"/>
      <c r="K69" s="745"/>
      <c r="L69" s="745"/>
      <c r="M69" s="323"/>
      <c r="N69" s="745"/>
      <c r="O69" s="745"/>
      <c r="P69" s="745"/>
      <c r="Q69" s="745"/>
      <c r="R69" s="745"/>
      <c r="S69" s="745"/>
      <c r="T69" s="745"/>
      <c r="U69" s="745"/>
      <c r="V69" s="745">
        <v>25</v>
      </c>
      <c r="W69" s="745">
        <v>50</v>
      </c>
      <c r="X69" s="323">
        <v>75</v>
      </c>
      <c r="Y69" s="745">
        <v>100</v>
      </c>
      <c r="Z69" s="745">
        <v>100</v>
      </c>
      <c r="AA69" s="745">
        <v>100</v>
      </c>
      <c r="AB69" s="508"/>
    </row>
    <row r="70" spans="1:28" ht="19.5" customHeight="1">
      <c r="A70" s="746" t="str">
        <f>'第一號明細表'!A72</f>
        <v>生態景觀堆石跌水工</v>
      </c>
      <c r="B70" s="409" t="str">
        <f>'第一號明細表'!C72</f>
        <v>全</v>
      </c>
      <c r="C70" s="410">
        <f>'第一號明細表'!F72/'預算書總表'!$F$14*100</f>
        <v>0.03</v>
      </c>
      <c r="D70" s="318">
        <f>'第一號明細表'!D72</f>
        <v>1</v>
      </c>
      <c r="E70" s="312" t="s">
        <v>480</v>
      </c>
      <c r="F70" s="323"/>
      <c r="G70" s="323"/>
      <c r="H70" s="323"/>
      <c r="I70" s="323"/>
      <c r="J70" s="745"/>
      <c r="K70" s="745"/>
      <c r="L70" s="745"/>
      <c r="M70" s="323">
        <v>9</v>
      </c>
      <c r="N70" s="745">
        <v>18</v>
      </c>
      <c r="O70" s="745">
        <v>27</v>
      </c>
      <c r="P70" s="745">
        <v>36</v>
      </c>
      <c r="Q70" s="745">
        <v>45</v>
      </c>
      <c r="R70" s="745">
        <v>54</v>
      </c>
      <c r="S70" s="745">
        <v>63</v>
      </c>
      <c r="T70" s="745">
        <v>72</v>
      </c>
      <c r="U70" s="745">
        <v>81</v>
      </c>
      <c r="V70" s="745">
        <v>90</v>
      </c>
      <c r="W70" s="745">
        <v>100</v>
      </c>
      <c r="X70" s="323">
        <v>100</v>
      </c>
      <c r="Y70" s="745">
        <v>100</v>
      </c>
      <c r="Z70" s="745">
        <v>100</v>
      </c>
      <c r="AA70" s="745">
        <v>100</v>
      </c>
      <c r="AB70" s="508"/>
    </row>
    <row r="71" spans="1:28" ht="19.5" customHeight="1">
      <c r="A71" s="1397" t="s">
        <v>202</v>
      </c>
      <c r="B71" s="1398" t="s">
        <v>203</v>
      </c>
      <c r="C71" s="410">
        <f>'預算書總表'!F8/'預算書總表'!$F$14*100</f>
        <v>3.06</v>
      </c>
      <c r="D71" s="318">
        <v>1</v>
      </c>
      <c r="E71" s="312" t="s">
        <v>480</v>
      </c>
      <c r="F71" s="323"/>
      <c r="G71" s="323"/>
      <c r="H71" s="323"/>
      <c r="I71" s="323"/>
      <c r="J71" s="745"/>
      <c r="K71" s="745"/>
      <c r="L71" s="745"/>
      <c r="M71" s="323">
        <v>9</v>
      </c>
      <c r="N71" s="745">
        <v>18</v>
      </c>
      <c r="O71" s="745">
        <v>27</v>
      </c>
      <c r="P71" s="745">
        <v>36</v>
      </c>
      <c r="Q71" s="745">
        <v>45</v>
      </c>
      <c r="R71" s="745">
        <v>54</v>
      </c>
      <c r="S71" s="745">
        <v>63</v>
      </c>
      <c r="T71" s="745">
        <v>72</v>
      </c>
      <c r="U71" s="745">
        <v>81</v>
      </c>
      <c r="V71" s="745">
        <v>90</v>
      </c>
      <c r="W71" s="745">
        <v>100</v>
      </c>
      <c r="X71" s="323">
        <v>100</v>
      </c>
      <c r="Y71" s="745">
        <v>100</v>
      </c>
      <c r="Z71" s="745">
        <v>100</v>
      </c>
      <c r="AA71" s="745">
        <v>100</v>
      </c>
      <c r="AB71" s="508"/>
    </row>
    <row r="72" spans="1:28" ht="19.5" customHeight="1">
      <c r="A72" s="746" t="str">
        <f>'預算書總表'!A9</f>
        <v>什項工程</v>
      </c>
      <c r="B72" s="409" t="str">
        <f>'預算書總表'!C9</f>
        <v>全</v>
      </c>
      <c r="C72" s="410">
        <f>'預算書總表'!F9/'預算書總表'!$F$14*100</f>
        <v>3.13</v>
      </c>
      <c r="D72" s="318">
        <f>'預算書總表'!D9</f>
        <v>1</v>
      </c>
      <c r="E72" s="312" t="s">
        <v>480</v>
      </c>
      <c r="F72" s="323"/>
      <c r="G72" s="323">
        <v>5</v>
      </c>
      <c r="H72" s="323">
        <v>10</v>
      </c>
      <c r="I72" s="323">
        <v>15</v>
      </c>
      <c r="J72" s="745">
        <v>20</v>
      </c>
      <c r="K72" s="745">
        <v>25</v>
      </c>
      <c r="L72" s="745">
        <v>30</v>
      </c>
      <c r="M72" s="745">
        <v>35</v>
      </c>
      <c r="N72" s="745">
        <v>40</v>
      </c>
      <c r="O72" s="745">
        <v>45</v>
      </c>
      <c r="P72" s="745">
        <v>50</v>
      </c>
      <c r="Q72" s="745">
        <v>55</v>
      </c>
      <c r="R72" s="745">
        <v>60</v>
      </c>
      <c r="S72" s="745">
        <v>65</v>
      </c>
      <c r="T72" s="745">
        <v>70</v>
      </c>
      <c r="U72" s="745">
        <v>75</v>
      </c>
      <c r="V72" s="745">
        <v>80</v>
      </c>
      <c r="W72" s="745">
        <v>85</v>
      </c>
      <c r="X72" s="745">
        <v>90</v>
      </c>
      <c r="Y72" s="745">
        <v>95</v>
      </c>
      <c r="Z72" s="745">
        <v>100</v>
      </c>
      <c r="AA72" s="745">
        <v>100</v>
      </c>
      <c r="AB72" s="508"/>
    </row>
    <row r="73" spans="1:28" ht="19.5" customHeight="1">
      <c r="A73" s="746" t="str">
        <f>'預算書總表'!A10</f>
        <v>勞 工 安 全 衛 生 費</v>
      </c>
      <c r="B73" s="409" t="str">
        <f>'預算書總表'!C10</f>
        <v>全</v>
      </c>
      <c r="C73" s="410">
        <f>'預算書總表'!F10/'預算書總表'!$F$14*100</f>
        <v>0.4</v>
      </c>
      <c r="D73" s="318">
        <f>'預算書總表'!D10</f>
        <v>1</v>
      </c>
      <c r="E73" s="312" t="s">
        <v>480</v>
      </c>
      <c r="F73" s="323"/>
      <c r="G73" s="323">
        <v>5</v>
      </c>
      <c r="H73" s="323">
        <v>10</v>
      </c>
      <c r="I73" s="323">
        <v>15</v>
      </c>
      <c r="J73" s="745">
        <v>20</v>
      </c>
      <c r="K73" s="745">
        <v>25</v>
      </c>
      <c r="L73" s="745">
        <v>30</v>
      </c>
      <c r="M73" s="745">
        <v>35</v>
      </c>
      <c r="N73" s="745">
        <v>40</v>
      </c>
      <c r="O73" s="745">
        <v>45</v>
      </c>
      <c r="P73" s="745">
        <v>50</v>
      </c>
      <c r="Q73" s="745">
        <v>55</v>
      </c>
      <c r="R73" s="745">
        <v>60</v>
      </c>
      <c r="S73" s="745">
        <v>65</v>
      </c>
      <c r="T73" s="745">
        <v>70</v>
      </c>
      <c r="U73" s="745">
        <v>75</v>
      </c>
      <c r="V73" s="745">
        <v>80</v>
      </c>
      <c r="W73" s="745">
        <v>85</v>
      </c>
      <c r="X73" s="745">
        <v>90</v>
      </c>
      <c r="Y73" s="745">
        <v>95</v>
      </c>
      <c r="Z73" s="745">
        <v>100</v>
      </c>
      <c r="AA73" s="745">
        <v>100</v>
      </c>
      <c r="AB73" s="508"/>
    </row>
    <row r="74" spans="1:28" ht="19.5" customHeight="1">
      <c r="A74" s="746" t="str">
        <f>'預算書總表'!A11</f>
        <v>環境保護措施費</v>
      </c>
      <c r="B74" s="409" t="str">
        <f>'預算書總表'!C11</f>
        <v>全</v>
      </c>
      <c r="C74" s="410">
        <f>'預算書總表'!F11/'預算書總表'!$F$14*100</f>
        <v>1.02</v>
      </c>
      <c r="D74" s="318">
        <f>'預算書總表'!D11</f>
        <v>1</v>
      </c>
      <c r="E74" s="312" t="s">
        <v>480</v>
      </c>
      <c r="F74" s="323"/>
      <c r="G74" s="323">
        <v>5</v>
      </c>
      <c r="H74" s="323">
        <v>10</v>
      </c>
      <c r="I74" s="323">
        <v>15</v>
      </c>
      <c r="J74" s="745">
        <v>20</v>
      </c>
      <c r="K74" s="745">
        <v>25</v>
      </c>
      <c r="L74" s="745">
        <v>30</v>
      </c>
      <c r="M74" s="745">
        <v>35</v>
      </c>
      <c r="N74" s="745">
        <v>40</v>
      </c>
      <c r="O74" s="745">
        <v>45</v>
      </c>
      <c r="P74" s="745">
        <v>50</v>
      </c>
      <c r="Q74" s="745">
        <v>55</v>
      </c>
      <c r="R74" s="745">
        <v>60</v>
      </c>
      <c r="S74" s="745">
        <v>65</v>
      </c>
      <c r="T74" s="745">
        <v>70</v>
      </c>
      <c r="U74" s="745">
        <v>75</v>
      </c>
      <c r="V74" s="745">
        <v>80</v>
      </c>
      <c r="W74" s="745">
        <v>85</v>
      </c>
      <c r="X74" s="745">
        <v>90</v>
      </c>
      <c r="Y74" s="745">
        <v>95</v>
      </c>
      <c r="Z74" s="745">
        <v>100</v>
      </c>
      <c r="AA74" s="745">
        <v>100</v>
      </c>
      <c r="AB74" s="508"/>
    </row>
    <row r="75" spans="1:28" ht="19.5" customHeight="1">
      <c r="A75" s="746" t="str">
        <f>'預算書總表'!A12</f>
        <v>廠商品質管制作業費</v>
      </c>
      <c r="B75" s="409" t="str">
        <f>'預算書總表'!C12</f>
        <v>全</v>
      </c>
      <c r="C75" s="410">
        <f>'預算書總表'!F12/'預算書總表'!$F$14*100</f>
        <v>1.23</v>
      </c>
      <c r="D75" s="318">
        <f>'預算書總表'!D12</f>
        <v>1</v>
      </c>
      <c r="E75" s="312" t="s">
        <v>480</v>
      </c>
      <c r="F75" s="323"/>
      <c r="G75" s="323">
        <v>5</v>
      </c>
      <c r="H75" s="323">
        <v>10</v>
      </c>
      <c r="I75" s="323">
        <v>15</v>
      </c>
      <c r="J75" s="745">
        <v>20</v>
      </c>
      <c r="K75" s="745">
        <v>25</v>
      </c>
      <c r="L75" s="745">
        <v>30</v>
      </c>
      <c r="M75" s="745">
        <v>35</v>
      </c>
      <c r="N75" s="745">
        <v>40</v>
      </c>
      <c r="O75" s="745">
        <v>45</v>
      </c>
      <c r="P75" s="745">
        <v>50</v>
      </c>
      <c r="Q75" s="745">
        <v>55</v>
      </c>
      <c r="R75" s="745">
        <v>60</v>
      </c>
      <c r="S75" s="745">
        <v>65</v>
      </c>
      <c r="T75" s="745">
        <v>70</v>
      </c>
      <c r="U75" s="745">
        <v>75</v>
      </c>
      <c r="V75" s="745">
        <v>80</v>
      </c>
      <c r="W75" s="745">
        <v>85</v>
      </c>
      <c r="X75" s="745">
        <v>90</v>
      </c>
      <c r="Y75" s="745">
        <v>95</v>
      </c>
      <c r="Z75" s="745">
        <v>100</v>
      </c>
      <c r="AA75" s="745">
        <v>100</v>
      </c>
      <c r="AB75" s="508"/>
    </row>
    <row r="76" spans="1:28" ht="19.5" customHeight="1">
      <c r="A76" s="746" t="str">
        <f>'預算書總表'!A13</f>
        <v>承包商管理費</v>
      </c>
      <c r="B76" s="409" t="str">
        <f>'預算書總表'!C13</f>
        <v>全</v>
      </c>
      <c r="C76" s="410">
        <f>'預算書總表'!F13/'預算書總表'!$F$14*100</f>
        <v>8.22</v>
      </c>
      <c r="D76" s="318">
        <f>'預算書總表'!D13</f>
        <v>1</v>
      </c>
      <c r="E76" s="312" t="s">
        <v>480</v>
      </c>
      <c r="F76" s="323"/>
      <c r="G76" s="323">
        <v>5</v>
      </c>
      <c r="H76" s="323">
        <v>10</v>
      </c>
      <c r="I76" s="323">
        <v>15</v>
      </c>
      <c r="J76" s="745">
        <v>20</v>
      </c>
      <c r="K76" s="745">
        <v>25</v>
      </c>
      <c r="L76" s="745">
        <v>30</v>
      </c>
      <c r="M76" s="745">
        <v>35</v>
      </c>
      <c r="N76" s="745">
        <v>40</v>
      </c>
      <c r="O76" s="745">
        <v>45</v>
      </c>
      <c r="P76" s="745">
        <v>50</v>
      </c>
      <c r="Q76" s="745">
        <v>55</v>
      </c>
      <c r="R76" s="745">
        <v>60</v>
      </c>
      <c r="S76" s="745">
        <v>65</v>
      </c>
      <c r="T76" s="745">
        <v>70</v>
      </c>
      <c r="U76" s="745">
        <v>75</v>
      </c>
      <c r="V76" s="745">
        <v>80</v>
      </c>
      <c r="W76" s="745">
        <v>85</v>
      </c>
      <c r="X76" s="745">
        <v>90</v>
      </c>
      <c r="Y76" s="745">
        <v>95</v>
      </c>
      <c r="Z76" s="745">
        <v>100</v>
      </c>
      <c r="AA76" s="745">
        <v>100</v>
      </c>
      <c r="AB76" s="508"/>
    </row>
    <row r="77" spans="1:28" ht="19.5" customHeight="1">
      <c r="A77" s="746"/>
      <c r="B77" s="409"/>
      <c r="C77" s="1453"/>
      <c r="D77" s="318"/>
      <c r="E77" s="312"/>
      <c r="F77" s="323"/>
      <c r="G77" s="323"/>
      <c r="H77" s="323"/>
      <c r="I77" s="323"/>
      <c r="J77" s="323"/>
      <c r="K77" s="323"/>
      <c r="L77" s="323"/>
      <c r="M77" s="323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745"/>
      <c r="Y77" s="745"/>
      <c r="Z77" s="745"/>
      <c r="AA77" s="745"/>
      <c r="AB77" s="508"/>
    </row>
    <row r="78" spans="1:28" ht="19.5" customHeight="1">
      <c r="A78" s="746"/>
      <c r="B78" s="409"/>
      <c r="C78" s="410"/>
      <c r="D78" s="318"/>
      <c r="E78" s="312"/>
      <c r="F78" s="323"/>
      <c r="G78" s="323"/>
      <c r="H78" s="323"/>
      <c r="I78" s="323"/>
      <c r="J78" s="323"/>
      <c r="K78" s="323"/>
      <c r="L78" s="323"/>
      <c r="M78" s="323"/>
      <c r="N78" s="745"/>
      <c r="O78" s="745"/>
      <c r="P78" s="745"/>
      <c r="Q78" s="745"/>
      <c r="R78" s="745"/>
      <c r="S78" s="745"/>
      <c r="T78" s="745"/>
      <c r="U78" s="745"/>
      <c r="V78" s="745"/>
      <c r="W78" s="745"/>
      <c r="X78" s="745"/>
      <c r="Y78" s="745"/>
      <c r="Z78" s="745"/>
      <c r="AA78" s="745"/>
      <c r="AB78" s="508"/>
    </row>
    <row r="79" spans="1:28" ht="19.5" customHeight="1">
      <c r="A79" s="746"/>
      <c r="B79" s="409"/>
      <c r="C79" s="410"/>
      <c r="D79" s="318"/>
      <c r="E79" s="312"/>
      <c r="F79" s="323"/>
      <c r="G79" s="323"/>
      <c r="H79" s="323"/>
      <c r="I79" s="323"/>
      <c r="J79" s="323"/>
      <c r="K79" s="323"/>
      <c r="L79" s="323"/>
      <c r="M79" s="323"/>
      <c r="N79" s="745"/>
      <c r="O79" s="745"/>
      <c r="P79" s="745"/>
      <c r="Q79" s="745"/>
      <c r="R79" s="745"/>
      <c r="S79" s="745"/>
      <c r="T79" s="745"/>
      <c r="U79" s="745"/>
      <c r="V79" s="745"/>
      <c r="W79" s="745"/>
      <c r="X79" s="745"/>
      <c r="Y79" s="745"/>
      <c r="Z79" s="745"/>
      <c r="AA79" s="745"/>
      <c r="AB79" s="508"/>
    </row>
    <row r="80" spans="1:28" ht="19.5" customHeight="1">
      <c r="A80" s="746"/>
      <c r="B80" s="409"/>
      <c r="C80" s="410"/>
      <c r="D80" s="318"/>
      <c r="E80" s="312"/>
      <c r="F80" s="323"/>
      <c r="G80" s="323"/>
      <c r="H80" s="323"/>
      <c r="I80" s="323"/>
      <c r="J80" s="323"/>
      <c r="K80" s="323"/>
      <c r="L80" s="323"/>
      <c r="M80" s="323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745"/>
      <c r="Y80" s="745"/>
      <c r="Z80" s="745"/>
      <c r="AA80" s="745"/>
      <c r="AB80" s="508"/>
    </row>
    <row r="81" spans="1:28" ht="19.5" customHeight="1">
      <c r="A81" s="746"/>
      <c r="B81" s="409"/>
      <c r="C81" s="410"/>
      <c r="D81" s="318"/>
      <c r="E81" s="312"/>
      <c r="F81" s="323"/>
      <c r="G81" s="323"/>
      <c r="H81" s="323"/>
      <c r="I81" s="323"/>
      <c r="J81" s="323"/>
      <c r="K81" s="323"/>
      <c r="L81" s="323"/>
      <c r="M81" s="323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508"/>
    </row>
    <row r="82" spans="1:28" ht="19.5" customHeight="1">
      <c r="A82" s="746"/>
      <c r="B82" s="409"/>
      <c r="C82" s="410"/>
      <c r="D82" s="318"/>
      <c r="E82" s="312"/>
      <c r="F82" s="323"/>
      <c r="G82" s="323"/>
      <c r="H82" s="323"/>
      <c r="I82" s="323"/>
      <c r="J82" s="323"/>
      <c r="K82" s="323"/>
      <c r="L82" s="323"/>
      <c r="M82" s="323"/>
      <c r="N82" s="745"/>
      <c r="O82" s="745"/>
      <c r="P82" s="745"/>
      <c r="Q82" s="745"/>
      <c r="R82" s="745"/>
      <c r="S82" s="745"/>
      <c r="T82" s="745"/>
      <c r="U82" s="745"/>
      <c r="V82" s="745"/>
      <c r="W82" s="745"/>
      <c r="X82" s="745"/>
      <c r="Y82" s="745"/>
      <c r="Z82" s="745"/>
      <c r="AA82" s="745"/>
      <c r="AB82" s="508"/>
    </row>
    <row r="83" spans="1:28" ht="19.5" customHeight="1">
      <c r="A83" s="746"/>
      <c r="B83" s="409"/>
      <c r="C83" s="410"/>
      <c r="D83" s="318"/>
      <c r="E83" s="312"/>
      <c r="F83" s="323"/>
      <c r="G83" s="323"/>
      <c r="H83" s="323"/>
      <c r="I83" s="323"/>
      <c r="J83" s="323"/>
      <c r="K83" s="323"/>
      <c r="L83" s="323"/>
      <c r="M83" s="323"/>
      <c r="N83" s="745"/>
      <c r="O83" s="745"/>
      <c r="P83" s="745"/>
      <c r="Q83" s="745"/>
      <c r="R83" s="745"/>
      <c r="S83" s="745"/>
      <c r="T83" s="745"/>
      <c r="U83" s="745"/>
      <c r="V83" s="745"/>
      <c r="W83" s="745"/>
      <c r="X83" s="745"/>
      <c r="Y83" s="745"/>
      <c r="Z83" s="745"/>
      <c r="AA83" s="745"/>
      <c r="AB83" s="508"/>
    </row>
    <row r="84" spans="1:28" ht="19.5" customHeight="1">
      <c r="A84" s="746"/>
      <c r="B84" s="409"/>
      <c r="C84" s="410"/>
      <c r="D84" s="318"/>
      <c r="E84" s="312"/>
      <c r="F84" s="323"/>
      <c r="G84" s="323"/>
      <c r="H84" s="323"/>
      <c r="I84" s="323"/>
      <c r="J84" s="323"/>
      <c r="K84" s="323"/>
      <c r="L84" s="323"/>
      <c r="M84" s="323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5"/>
      <c r="AA84" s="745"/>
      <c r="AB84" s="508"/>
    </row>
    <row r="85" spans="1:28" ht="19.5" customHeight="1">
      <c r="A85" s="746"/>
      <c r="B85" s="409"/>
      <c r="C85" s="507"/>
      <c r="D85" s="318"/>
      <c r="E85" s="312"/>
      <c r="F85" s="323"/>
      <c r="G85" s="323"/>
      <c r="H85" s="323"/>
      <c r="I85" s="323"/>
      <c r="J85" s="323"/>
      <c r="K85" s="323"/>
      <c r="L85" s="323"/>
      <c r="M85" s="323"/>
      <c r="N85" s="745"/>
      <c r="O85" s="745"/>
      <c r="P85" s="745"/>
      <c r="Q85" s="745"/>
      <c r="R85" s="745"/>
      <c r="S85" s="745"/>
      <c r="T85" s="745"/>
      <c r="U85" s="745"/>
      <c r="V85" s="745"/>
      <c r="W85" s="745"/>
      <c r="X85" s="745"/>
      <c r="Y85" s="745"/>
      <c r="Z85" s="745"/>
      <c r="AA85" s="745"/>
      <c r="AB85" s="508"/>
    </row>
    <row r="86" spans="1:28" ht="19.5" customHeight="1">
      <c r="A86" s="319" t="s">
        <v>721</v>
      </c>
      <c r="B86" s="409" t="s">
        <v>723</v>
      </c>
      <c r="C86" s="507"/>
      <c r="D86" s="509"/>
      <c r="E86" s="312"/>
      <c r="F86" s="1454">
        <f>F87-E87</f>
        <v>0</v>
      </c>
      <c r="G86" s="1455">
        <f aca="true" t="shared" si="0" ref="G86:AA86">G87-F87</f>
        <v>0.71</v>
      </c>
      <c r="H86" s="1455">
        <f t="shared" si="0"/>
        <v>0.84</v>
      </c>
      <c r="I86" s="1455">
        <f t="shared" si="0"/>
        <v>0.83</v>
      </c>
      <c r="J86" s="1455">
        <f t="shared" si="0"/>
        <v>5.45</v>
      </c>
      <c r="K86" s="1455">
        <f t="shared" si="0"/>
        <v>5.44</v>
      </c>
      <c r="L86" s="1455">
        <f t="shared" si="0"/>
        <v>4.92</v>
      </c>
      <c r="M86" s="1455">
        <f t="shared" si="0"/>
        <v>6.89</v>
      </c>
      <c r="N86" s="1455">
        <f t="shared" si="0"/>
        <v>6.91</v>
      </c>
      <c r="O86" s="1455">
        <f t="shared" si="0"/>
        <v>6.41</v>
      </c>
      <c r="P86" s="1455">
        <f t="shared" si="0"/>
        <v>7</v>
      </c>
      <c r="Q86" s="1455">
        <f t="shared" si="0"/>
        <v>7.02</v>
      </c>
      <c r="R86" s="1455">
        <f t="shared" si="0"/>
        <v>6.37</v>
      </c>
      <c r="S86" s="1455">
        <f t="shared" si="0"/>
        <v>7.07</v>
      </c>
      <c r="T86" s="1455">
        <f t="shared" si="0"/>
        <v>8.26</v>
      </c>
      <c r="U86" s="1455">
        <f t="shared" si="0"/>
        <v>8</v>
      </c>
      <c r="V86" s="1455">
        <f t="shared" si="0"/>
        <v>8.04</v>
      </c>
      <c r="W86" s="1455">
        <f t="shared" si="0"/>
        <v>5.68</v>
      </c>
      <c r="X86" s="1455">
        <f t="shared" si="0"/>
        <v>2.64</v>
      </c>
      <c r="Y86" s="1455">
        <f t="shared" si="0"/>
        <v>0.84</v>
      </c>
      <c r="Z86" s="1455">
        <f t="shared" si="0"/>
        <v>0.68</v>
      </c>
      <c r="AA86" s="1455">
        <f t="shared" si="0"/>
        <v>0</v>
      </c>
      <c r="AB86" s="508"/>
    </row>
    <row r="87" spans="1:28" ht="19.5" customHeight="1" thickBot="1">
      <c r="A87" s="510" t="s">
        <v>722</v>
      </c>
      <c r="B87" s="517" t="s">
        <v>723</v>
      </c>
      <c r="C87" s="511"/>
      <c r="D87" s="512"/>
      <c r="E87" s="513"/>
      <c r="F87" s="1456">
        <f>Sheet!B59</f>
        <v>0</v>
      </c>
      <c r="G87" s="1457">
        <f>Sheet!C59</f>
        <v>0.71</v>
      </c>
      <c r="H87" s="1457">
        <f>Sheet!D59</f>
        <v>1.55</v>
      </c>
      <c r="I87" s="1457">
        <f>Sheet!E59</f>
        <v>2.38</v>
      </c>
      <c r="J87" s="1457">
        <f>Sheet!F59</f>
        <v>7.83</v>
      </c>
      <c r="K87" s="1457">
        <f>Sheet!G59</f>
        <v>13.27</v>
      </c>
      <c r="L87" s="1457">
        <f>Sheet!H59</f>
        <v>18.19</v>
      </c>
      <c r="M87" s="1457">
        <f>Sheet!I59</f>
        <v>25.08</v>
      </c>
      <c r="N87" s="1457">
        <f>Sheet!J59</f>
        <v>31.99</v>
      </c>
      <c r="O87" s="1457">
        <f>Sheet!K59</f>
        <v>38.4</v>
      </c>
      <c r="P87" s="1457">
        <f>Sheet!L59</f>
        <v>45.4</v>
      </c>
      <c r="Q87" s="1457">
        <f>Sheet!M59</f>
        <v>52.42</v>
      </c>
      <c r="R87" s="1457">
        <f>Sheet!N59</f>
        <v>58.79</v>
      </c>
      <c r="S87" s="1457">
        <f>Sheet!O59</f>
        <v>65.86</v>
      </c>
      <c r="T87" s="1457">
        <f>Sheet!P59</f>
        <v>74.12</v>
      </c>
      <c r="U87" s="1457">
        <f>Sheet!Q59</f>
        <v>82.12</v>
      </c>
      <c r="V87" s="1457">
        <f>Sheet!R59</f>
        <v>90.16</v>
      </c>
      <c r="W87" s="1457">
        <f>Sheet!S59</f>
        <v>95.84</v>
      </c>
      <c r="X87" s="1457">
        <f>Sheet!T59</f>
        <v>98.48</v>
      </c>
      <c r="Y87" s="1457">
        <f>Sheet!U59</f>
        <v>99.32</v>
      </c>
      <c r="Z87" s="1458">
        <f>Sheet!V59</f>
        <v>100</v>
      </c>
      <c r="AA87" s="1458">
        <f>Sheet!W59</f>
        <v>100</v>
      </c>
      <c r="AB87" s="514"/>
    </row>
    <row r="88" spans="1:9" ht="19.5" customHeight="1">
      <c r="A88" s="29"/>
      <c r="B88" s="29"/>
      <c r="C88" s="29"/>
      <c r="D88" s="29"/>
      <c r="G88" s="32"/>
      <c r="H88" s="29"/>
      <c r="I88" s="32"/>
    </row>
    <row r="89" spans="1:9" ht="19.5" customHeight="1">
      <c r="A89" s="29" t="s">
        <v>457</v>
      </c>
      <c r="B89" s="29"/>
      <c r="C89" s="29"/>
      <c r="D89" s="29"/>
      <c r="G89" s="32"/>
      <c r="H89" s="29" t="s">
        <v>458</v>
      </c>
      <c r="I89" s="32"/>
    </row>
  </sheetData>
  <mergeCells count="38">
    <mergeCell ref="A1:AB1"/>
    <mergeCell ref="A2:AB2"/>
    <mergeCell ref="A6:A9"/>
    <mergeCell ref="B6:B9"/>
    <mergeCell ref="J7:K7"/>
    <mergeCell ref="L7:M7"/>
    <mergeCell ref="C6:C9"/>
    <mergeCell ref="D6:E9"/>
    <mergeCell ref="D4:AB4"/>
    <mergeCell ref="R7:S7"/>
    <mergeCell ref="A44:AB44"/>
    <mergeCell ref="A45:AB45"/>
    <mergeCell ref="D47:AB47"/>
    <mergeCell ref="A49:A52"/>
    <mergeCell ref="B49:B52"/>
    <mergeCell ref="C49:C52"/>
    <mergeCell ref="D49:E52"/>
    <mergeCell ref="F49:AA49"/>
    <mergeCell ref="V50:W50"/>
    <mergeCell ref="X50:Y50"/>
    <mergeCell ref="V7:W7"/>
    <mergeCell ref="X7:Y7"/>
    <mergeCell ref="Z7:AA7"/>
    <mergeCell ref="F6:AA6"/>
    <mergeCell ref="T7:U7"/>
    <mergeCell ref="F7:G7"/>
    <mergeCell ref="H7:I7"/>
    <mergeCell ref="N7:O7"/>
    <mergeCell ref="P7:Q7"/>
    <mergeCell ref="Z50:AA50"/>
    <mergeCell ref="F50:G50"/>
    <mergeCell ref="H50:I50"/>
    <mergeCell ref="J50:K50"/>
    <mergeCell ref="L50:M50"/>
    <mergeCell ref="N50:O50"/>
    <mergeCell ref="P50:Q50"/>
    <mergeCell ref="R50:S50"/>
    <mergeCell ref="T50:U50"/>
  </mergeCells>
  <printOptions/>
  <pageMargins left="1.3385826771653544" right="0.35433070866141736" top="0.3937007874015748" bottom="0.3937007874015748" header="0.5118110236220472" footer="0.5118110236220472"/>
  <pageSetup horizontalDpi="300" verticalDpi="3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R44">
      <selection activeCell="V59" sqref="V59"/>
    </sheetView>
  </sheetViews>
  <sheetFormatPr defaultColWidth="9.00390625" defaultRowHeight="16.5"/>
  <cols>
    <col min="1" max="1" width="12.625" style="203" customWidth="1"/>
    <col min="2" max="11" width="10.625" style="200" customWidth="1"/>
    <col min="12" max="17" width="10.625" style="411" customWidth="1"/>
    <col min="18" max="19" width="9.00390625" style="411" customWidth="1"/>
    <col min="20" max="20" width="10.25390625" style="411" customWidth="1"/>
    <col min="21" max="22" width="10.25390625" style="200" bestFit="1" customWidth="1"/>
    <col min="23" max="23" width="9.375" style="200" bestFit="1" customWidth="1"/>
    <col min="24" max="16384" width="9.00390625" style="200" customWidth="1"/>
  </cols>
  <sheetData>
    <row r="1" spans="1:23" ht="14.25">
      <c r="A1" s="1681" t="s">
        <v>570</v>
      </c>
      <c r="B1" s="1679" t="s">
        <v>823</v>
      </c>
      <c r="C1" s="1680"/>
      <c r="D1" s="1679" t="s">
        <v>941</v>
      </c>
      <c r="E1" s="1680"/>
      <c r="F1" s="1679" t="s">
        <v>942</v>
      </c>
      <c r="G1" s="1680"/>
      <c r="H1" s="1679" t="s">
        <v>943</v>
      </c>
      <c r="I1" s="1680"/>
      <c r="J1" s="1679" t="s">
        <v>934</v>
      </c>
      <c r="K1" s="1680"/>
      <c r="L1" s="1679" t="s">
        <v>935</v>
      </c>
      <c r="M1" s="1680"/>
      <c r="N1" s="1679" t="s">
        <v>944</v>
      </c>
      <c r="O1" s="1680"/>
      <c r="P1" s="1679" t="s">
        <v>1290</v>
      </c>
      <c r="Q1" s="1680"/>
      <c r="R1" s="1679" t="s">
        <v>1291</v>
      </c>
      <c r="S1" s="1680"/>
      <c r="T1" s="1679" t="s">
        <v>1292</v>
      </c>
      <c r="U1" s="1680"/>
      <c r="V1" s="1679" t="s">
        <v>822</v>
      </c>
      <c r="W1" s="1680"/>
    </row>
    <row r="2" spans="1:23" ht="14.25">
      <c r="A2" s="1682"/>
      <c r="B2" s="218">
        <v>1</v>
      </c>
      <c r="C2" s="218">
        <v>2</v>
      </c>
      <c r="D2" s="218">
        <v>3</v>
      </c>
      <c r="E2" s="218">
        <v>4</v>
      </c>
      <c r="F2" s="218">
        <v>5</v>
      </c>
      <c r="G2" s="218">
        <v>6</v>
      </c>
      <c r="H2" s="218">
        <v>7</v>
      </c>
      <c r="I2" s="218">
        <v>8</v>
      </c>
      <c r="J2" s="218">
        <v>9</v>
      </c>
      <c r="K2" s="218">
        <v>10</v>
      </c>
      <c r="L2" s="218">
        <v>11</v>
      </c>
      <c r="M2" s="218">
        <v>12</v>
      </c>
      <c r="N2" s="218">
        <v>13</v>
      </c>
      <c r="O2" s="218">
        <v>14</v>
      </c>
      <c r="P2" s="218">
        <v>15</v>
      </c>
      <c r="Q2" s="218">
        <v>16</v>
      </c>
      <c r="R2" s="218">
        <v>17</v>
      </c>
      <c r="S2" s="218">
        <v>18</v>
      </c>
      <c r="T2" s="218">
        <v>19</v>
      </c>
      <c r="U2" s="218">
        <v>20</v>
      </c>
      <c r="V2" s="218">
        <v>21</v>
      </c>
      <c r="W2" s="1452">
        <v>22</v>
      </c>
    </row>
    <row r="3" spans="1:23" ht="14.25">
      <c r="A3" s="515">
        <f>'進度表'!C10</f>
        <v>0.87</v>
      </c>
      <c r="B3" s="516">
        <f>'進度表'!F10/100*$A3</f>
        <v>0</v>
      </c>
      <c r="C3" s="516">
        <f>'進度表'!G10/100*$A3</f>
        <v>0</v>
      </c>
      <c r="D3" s="516">
        <f>'進度表'!H10/100*$A3</f>
        <v>0.0522</v>
      </c>
      <c r="E3" s="516">
        <f>'進度表'!I10/100*$A3</f>
        <v>0.1044</v>
      </c>
      <c r="F3" s="516">
        <f>'進度表'!J10/100*$A3</f>
        <v>0.1566</v>
      </c>
      <c r="G3" s="516">
        <f>'進度表'!K10/100*$A3</f>
        <v>0.2088</v>
      </c>
      <c r="H3" s="516">
        <f>'進度表'!L10/100*$A3</f>
        <v>0.261</v>
      </c>
      <c r="I3" s="516">
        <f>'進度表'!M10/100*$A3</f>
        <v>0.3132</v>
      </c>
      <c r="J3" s="516">
        <f>'進度表'!N10/100*$A3</f>
        <v>0.3654</v>
      </c>
      <c r="K3" s="516">
        <f>'進度表'!O10/100*$A3</f>
        <v>0.4176</v>
      </c>
      <c r="L3" s="516">
        <f>'進度表'!P10/100*$A3</f>
        <v>0.4611</v>
      </c>
      <c r="M3" s="516">
        <f>'進度表'!Q10/100*$A3</f>
        <v>0.5133</v>
      </c>
      <c r="N3" s="516">
        <f>'進度表'!R10/100*$A3</f>
        <v>0.5568</v>
      </c>
      <c r="O3" s="516">
        <f>'進度表'!S10/100*$A3</f>
        <v>0.609</v>
      </c>
      <c r="P3" s="516">
        <f>'進度表'!T10/100*$A3</f>
        <v>0.6612</v>
      </c>
      <c r="Q3" s="516">
        <f>'進度表'!U10/100*$A3</f>
        <v>0.7134</v>
      </c>
      <c r="R3" s="516">
        <f>'進度表'!V10/100*$A3</f>
        <v>0.7656</v>
      </c>
      <c r="S3" s="516">
        <f>'進度表'!W10/100*$A3</f>
        <v>0.8178</v>
      </c>
      <c r="T3" s="516">
        <f>'進度表'!X10/100*$A3</f>
        <v>0.87</v>
      </c>
      <c r="U3" s="516">
        <f>'進度表'!Y10/100*$A3</f>
        <v>0.87</v>
      </c>
      <c r="V3" s="516">
        <f>'進度表'!Z10/100*$A3</f>
        <v>0.87</v>
      </c>
      <c r="W3" s="516">
        <f>'進度表'!AA10/100*$A3</f>
        <v>0.87</v>
      </c>
    </row>
    <row r="4" spans="1:23" ht="14.25">
      <c r="A4" s="515">
        <f>'進度表'!C11</f>
        <v>0.62</v>
      </c>
      <c r="B4" s="516">
        <f>'進度表'!F11/100*$A4</f>
        <v>0</v>
      </c>
      <c r="C4" s="516">
        <f>'進度表'!G11/100*$A4</f>
        <v>0</v>
      </c>
      <c r="D4" s="516">
        <f>'進度表'!H11/100*$A4</f>
        <v>0.0372</v>
      </c>
      <c r="E4" s="516">
        <f>'進度表'!I11/100*$A4</f>
        <v>0.0744</v>
      </c>
      <c r="F4" s="516">
        <f>'進度表'!J11/100*$A4</f>
        <v>0.1116</v>
      </c>
      <c r="G4" s="516">
        <f>'進度表'!K11/100*$A4</f>
        <v>0.1488</v>
      </c>
      <c r="H4" s="516">
        <f>'進度表'!L11/100*$A4</f>
        <v>0.186</v>
      </c>
      <c r="I4" s="516">
        <f>'進度表'!M11/100*$A4</f>
        <v>0.2232</v>
      </c>
      <c r="J4" s="516">
        <f>'進度表'!N11/100*$A4</f>
        <v>0.2604</v>
      </c>
      <c r="K4" s="516">
        <f>'進度表'!O11/100*$A4</f>
        <v>0.2976</v>
      </c>
      <c r="L4" s="516">
        <f>'進度表'!P11/100*$A4</f>
        <v>0.3286</v>
      </c>
      <c r="M4" s="516">
        <f>'進度表'!Q11/100*$A4</f>
        <v>0.3658</v>
      </c>
      <c r="N4" s="516">
        <f>'進度表'!R11/100*$A4</f>
        <v>0.3968</v>
      </c>
      <c r="O4" s="516">
        <f>'進度表'!S11/100*$A4</f>
        <v>0.434</v>
      </c>
      <c r="P4" s="516">
        <f>'進度表'!T11/100*$A4</f>
        <v>0.4712</v>
      </c>
      <c r="Q4" s="516">
        <f>'進度表'!U11/100*$A4</f>
        <v>0.5084</v>
      </c>
      <c r="R4" s="516">
        <f>'進度表'!V11/100*$A4</f>
        <v>0.5456</v>
      </c>
      <c r="S4" s="516">
        <f>'進度表'!W11/100*$A4</f>
        <v>0.5828</v>
      </c>
      <c r="T4" s="516">
        <f>'進度表'!X11/100*$A4</f>
        <v>0.62</v>
      </c>
      <c r="U4" s="516">
        <f>'進度表'!Y11/100*$A4</f>
        <v>0.62</v>
      </c>
      <c r="V4" s="516">
        <f>'進度表'!Z11/100*$A4</f>
        <v>0.62</v>
      </c>
      <c r="W4" s="516">
        <f>'進度表'!AA11/100*$A4</f>
        <v>0.62</v>
      </c>
    </row>
    <row r="5" spans="1:23" ht="14.25">
      <c r="A5" s="515">
        <f>'進度表'!C12</f>
        <v>0.23</v>
      </c>
      <c r="B5" s="516">
        <f>'進度表'!F12/100*$A5</f>
        <v>0</v>
      </c>
      <c r="C5" s="516">
        <f>'進度表'!G12/100*$A5</f>
        <v>0</v>
      </c>
      <c r="D5" s="516">
        <f>'進度表'!H12/100*$A5</f>
        <v>0.0138</v>
      </c>
      <c r="E5" s="516">
        <f>'進度表'!I12/100*$A5</f>
        <v>0.0276</v>
      </c>
      <c r="F5" s="516">
        <f>'進度表'!J12/100*$A5</f>
        <v>0.0414</v>
      </c>
      <c r="G5" s="516">
        <f>'進度表'!K12/100*$A5</f>
        <v>0.0552</v>
      </c>
      <c r="H5" s="516">
        <f>'進度表'!L12/100*$A5</f>
        <v>0.069</v>
      </c>
      <c r="I5" s="516">
        <f>'進度表'!M12/100*$A5</f>
        <v>0.0828</v>
      </c>
      <c r="J5" s="516">
        <f>'進度表'!N12/100*$A5</f>
        <v>0.0966</v>
      </c>
      <c r="K5" s="516">
        <f>'進度表'!O12/100*$A5</f>
        <v>0.1104</v>
      </c>
      <c r="L5" s="516">
        <f>'進度表'!P12/100*$A5</f>
        <v>0.1219</v>
      </c>
      <c r="M5" s="516">
        <f>'進度表'!Q12/100*$A5</f>
        <v>0.1357</v>
      </c>
      <c r="N5" s="516">
        <f>'進度表'!R12/100*$A5</f>
        <v>0.1472</v>
      </c>
      <c r="O5" s="516">
        <f>'進度表'!S12/100*$A5</f>
        <v>0.161</v>
      </c>
      <c r="P5" s="516">
        <f>'進度表'!T12/100*$A5</f>
        <v>0.1748</v>
      </c>
      <c r="Q5" s="516">
        <f>'進度表'!U12/100*$A5</f>
        <v>0.1886</v>
      </c>
      <c r="R5" s="516">
        <f>'進度表'!V12/100*$A5</f>
        <v>0.2024</v>
      </c>
      <c r="S5" s="516">
        <f>'進度表'!W12/100*$A5</f>
        <v>0.2162</v>
      </c>
      <c r="T5" s="516">
        <f>'進度表'!X12/100*$A5</f>
        <v>0.23</v>
      </c>
      <c r="U5" s="516">
        <f>'進度表'!Y12/100*$A5</f>
        <v>0.23</v>
      </c>
      <c r="V5" s="516">
        <f>'進度表'!Z12/100*$A5</f>
        <v>0.23</v>
      </c>
      <c r="W5" s="516">
        <f>'進度表'!AA12/100*$A5</f>
        <v>0.23</v>
      </c>
    </row>
    <row r="6" spans="1:23" ht="14.25">
      <c r="A6" s="515">
        <f>'進度表'!C13</f>
        <v>0.17</v>
      </c>
      <c r="B6" s="516">
        <f>'進度表'!F13/100*$A6</f>
        <v>0</v>
      </c>
      <c r="C6" s="516">
        <f>'進度表'!G13/100*$A6</f>
        <v>0</v>
      </c>
      <c r="D6" s="516">
        <f>'進度表'!H13/100*$A6</f>
        <v>0.0102</v>
      </c>
      <c r="E6" s="516">
        <f>'進度表'!I13/100*$A6</f>
        <v>0.0204</v>
      </c>
      <c r="F6" s="516">
        <f>'進度表'!J13/100*$A6</f>
        <v>0.0306</v>
      </c>
      <c r="G6" s="516">
        <f>'進度表'!K13/100*$A6</f>
        <v>0.0408</v>
      </c>
      <c r="H6" s="516">
        <f>'進度表'!L13/100*$A6</f>
        <v>0.051</v>
      </c>
      <c r="I6" s="516">
        <f>'進度表'!M13/100*$A6</f>
        <v>0.0612</v>
      </c>
      <c r="J6" s="516">
        <f>'進度表'!N13/100*$A6</f>
        <v>0.0714</v>
      </c>
      <c r="K6" s="516">
        <f>'進度表'!O13/100*$A6</f>
        <v>0.0816</v>
      </c>
      <c r="L6" s="516">
        <f>'進度表'!P13/100*$A6</f>
        <v>0.0901</v>
      </c>
      <c r="M6" s="516">
        <f>'進度表'!Q13/100*$A6</f>
        <v>0.1003</v>
      </c>
      <c r="N6" s="516">
        <f>'進度表'!R13/100*$A6</f>
        <v>0.1088</v>
      </c>
      <c r="O6" s="516">
        <f>'進度表'!S13/100*$A6</f>
        <v>0.119</v>
      </c>
      <c r="P6" s="516">
        <f>'進度表'!T13/100*$A6</f>
        <v>0.1292</v>
      </c>
      <c r="Q6" s="516">
        <f>'進度表'!U13/100*$A6</f>
        <v>0.1394</v>
      </c>
      <c r="R6" s="516">
        <f>'進度表'!V13/100*$A6</f>
        <v>0.1496</v>
      </c>
      <c r="S6" s="516">
        <f>'進度表'!W13/100*$A6</f>
        <v>0.1598</v>
      </c>
      <c r="T6" s="516">
        <f>'進度表'!X13/100*$A6</f>
        <v>0.17</v>
      </c>
      <c r="U6" s="516">
        <f>'進度表'!Y13/100*$A6</f>
        <v>0.17</v>
      </c>
      <c r="V6" s="516">
        <f>'進度表'!Z13/100*$A6</f>
        <v>0.17</v>
      </c>
      <c r="W6" s="516">
        <f>'進度表'!AA13/100*$A6</f>
        <v>0.17</v>
      </c>
    </row>
    <row r="7" spans="1:23" ht="14.25">
      <c r="A7" s="515">
        <f>'進度表'!C14</f>
        <v>0.29</v>
      </c>
      <c r="B7" s="516">
        <f>'進度表'!F14/100*$A7</f>
        <v>0</v>
      </c>
      <c r="C7" s="516">
        <f>'進度表'!G14/100*$A7</f>
        <v>0</v>
      </c>
      <c r="D7" s="516">
        <f>'進度表'!H14/100*$A7</f>
        <v>0.0174</v>
      </c>
      <c r="E7" s="516">
        <f>'進度表'!I14/100*$A7</f>
        <v>0.0348</v>
      </c>
      <c r="F7" s="516">
        <f>'進度表'!J14/100*$A7</f>
        <v>0.0522</v>
      </c>
      <c r="G7" s="516">
        <f>'進度表'!K14/100*$A7</f>
        <v>0.0696</v>
      </c>
      <c r="H7" s="516">
        <f>'進度表'!L14/100*$A7</f>
        <v>0.087</v>
      </c>
      <c r="I7" s="516">
        <f>'進度表'!M14/100*$A7</f>
        <v>0.1044</v>
      </c>
      <c r="J7" s="516">
        <f>'進度表'!N14/100*$A7</f>
        <v>0.1218</v>
      </c>
      <c r="K7" s="516">
        <f>'進度表'!O14/100*$A7</f>
        <v>0.1392</v>
      </c>
      <c r="L7" s="516">
        <f>'進度表'!P14/100*$A7</f>
        <v>0.1537</v>
      </c>
      <c r="M7" s="516">
        <f>'進度表'!Q14/100*$A7</f>
        <v>0.1711</v>
      </c>
      <c r="N7" s="516">
        <f>'進度表'!R14/100*$A7</f>
        <v>0.1856</v>
      </c>
      <c r="O7" s="516">
        <f>'進度表'!S14/100*$A7</f>
        <v>0.203</v>
      </c>
      <c r="P7" s="516">
        <f>'進度表'!T14/100*$A7</f>
        <v>0.2204</v>
      </c>
      <c r="Q7" s="516">
        <f>'進度表'!U14/100*$A7</f>
        <v>0.2378</v>
      </c>
      <c r="R7" s="516">
        <f>'進度表'!V14/100*$A7</f>
        <v>0.2552</v>
      </c>
      <c r="S7" s="516">
        <f>'進度表'!W14/100*$A7</f>
        <v>0.2726</v>
      </c>
      <c r="T7" s="516">
        <f>'進度表'!X14/100*$A7</f>
        <v>0.29</v>
      </c>
      <c r="U7" s="516">
        <f>'進度表'!Y14/100*$A7</f>
        <v>0.29</v>
      </c>
      <c r="V7" s="516">
        <f>'進度表'!Z14/100*$A7</f>
        <v>0.29</v>
      </c>
      <c r="W7" s="516">
        <f>'進度表'!AA14/100*$A7</f>
        <v>0.29</v>
      </c>
    </row>
    <row r="8" spans="1:23" ht="14.25">
      <c r="A8" s="515">
        <f>'進度表'!C15</f>
        <v>25.34</v>
      </c>
      <c r="B8" s="516">
        <f>'進度表'!F15/100*$A8</f>
        <v>0</v>
      </c>
      <c r="C8" s="516">
        <f>'進度表'!G15/100*$A8</f>
        <v>0</v>
      </c>
      <c r="D8" s="516">
        <f>'進度表'!H15/100*$A8</f>
        <v>0</v>
      </c>
      <c r="E8" s="516">
        <f>'進度表'!I15/100*$A8</f>
        <v>0</v>
      </c>
      <c r="F8" s="516">
        <f>'進度表'!J15/100*$A8</f>
        <v>1.7738</v>
      </c>
      <c r="G8" s="516">
        <f>'進度表'!K15/100*$A8</f>
        <v>3.5476</v>
      </c>
      <c r="H8" s="516">
        <f>'進度表'!L15/100*$A8</f>
        <v>5.068</v>
      </c>
      <c r="I8" s="516">
        <f>'進度表'!M15/100*$A8</f>
        <v>6.8418</v>
      </c>
      <c r="J8" s="516">
        <f>'進度表'!N15/100*$A8</f>
        <v>8.6156</v>
      </c>
      <c r="K8" s="516">
        <f>'進度表'!O15/100*$A8</f>
        <v>10.136</v>
      </c>
      <c r="L8" s="516">
        <f>'進度表'!P15/100*$A8</f>
        <v>11.9098</v>
      </c>
      <c r="M8" s="516">
        <f>'進度表'!Q15/100*$A8</f>
        <v>13.6836</v>
      </c>
      <c r="N8" s="516">
        <f>'進度表'!R15/100*$A8</f>
        <v>15.204</v>
      </c>
      <c r="O8" s="516">
        <f>'進度表'!S15/100*$A8</f>
        <v>16.9778</v>
      </c>
      <c r="P8" s="516">
        <f>'進度表'!T15/100*$A8</f>
        <v>18.7516</v>
      </c>
      <c r="Q8" s="516">
        <f>'進度表'!U15/100*$A8</f>
        <v>20.272</v>
      </c>
      <c r="R8" s="516">
        <f>'進度表'!V15/100*$A8</f>
        <v>22.0458</v>
      </c>
      <c r="S8" s="516">
        <f>'進度表'!W15/100*$A8</f>
        <v>23.8196</v>
      </c>
      <c r="T8" s="516">
        <f>'進度表'!X15/100*$A8</f>
        <v>25.34</v>
      </c>
      <c r="U8" s="516">
        <f>'進度表'!Y15/100*$A8</f>
        <v>25.34</v>
      </c>
      <c r="V8" s="516">
        <f>'進度表'!Z15/100*$A8</f>
        <v>25.34</v>
      </c>
      <c r="W8" s="516">
        <f>'進度表'!AA15/100*$A8</f>
        <v>25.34</v>
      </c>
    </row>
    <row r="9" spans="1:23" s="201" customFormat="1" ht="14.25">
      <c r="A9" s="515">
        <f>'進度表'!C16</f>
        <v>0.69</v>
      </c>
      <c r="B9" s="516">
        <f>'進度表'!F16/100*$A9</f>
        <v>0</v>
      </c>
      <c r="C9" s="516">
        <f>'進度表'!G16/100*$A9</f>
        <v>0</v>
      </c>
      <c r="D9" s="516">
        <f>'進度表'!H16/100*$A9</f>
        <v>0</v>
      </c>
      <c r="E9" s="516">
        <f>'進度表'!I16/100*$A9</f>
        <v>0</v>
      </c>
      <c r="F9" s="516">
        <f>'進度表'!J16/100*$A9</f>
        <v>0.0552</v>
      </c>
      <c r="G9" s="516">
        <f>'進度表'!K16/100*$A9</f>
        <v>0.1104</v>
      </c>
      <c r="H9" s="516">
        <f>'進度表'!L16/100*$A9</f>
        <v>0.1587</v>
      </c>
      <c r="I9" s="516">
        <f>'進度表'!M16/100*$A9</f>
        <v>0.2139</v>
      </c>
      <c r="J9" s="516">
        <f>'進度表'!N16/100*$A9</f>
        <v>0.2691</v>
      </c>
      <c r="K9" s="516">
        <f>'進度表'!O16/100*$A9</f>
        <v>0.3174</v>
      </c>
      <c r="L9" s="516">
        <f>'進度表'!P16/100*$A9</f>
        <v>0.3726</v>
      </c>
      <c r="M9" s="516">
        <f>'進度表'!Q16/100*$A9</f>
        <v>0.4278</v>
      </c>
      <c r="N9" s="516">
        <f>'進度表'!R16/100*$A9</f>
        <v>0.4761</v>
      </c>
      <c r="O9" s="516">
        <f>'進度表'!S16/100*$A9</f>
        <v>0.5313</v>
      </c>
      <c r="P9" s="516">
        <f>'進度表'!T16/100*$A9</f>
        <v>0.5865</v>
      </c>
      <c r="Q9" s="516">
        <f>'進度表'!U16/100*$A9</f>
        <v>0.6417</v>
      </c>
      <c r="R9" s="516">
        <f>'進度表'!V16/100*$A9</f>
        <v>0.69</v>
      </c>
      <c r="S9" s="516">
        <f>'進度表'!W16/100*$A9</f>
        <v>0.69</v>
      </c>
      <c r="T9" s="516">
        <f>'進度表'!X16/100*$A9</f>
        <v>0.69</v>
      </c>
      <c r="U9" s="516">
        <f>'進度表'!Y16/100*$A9</f>
        <v>0.69</v>
      </c>
      <c r="V9" s="516">
        <f>'進度表'!Z16/100*$A9</f>
        <v>0.69</v>
      </c>
      <c r="W9" s="516">
        <f>'進度表'!AA16/100*$A9</f>
        <v>0.69</v>
      </c>
    </row>
    <row r="10" spans="1:23" ht="14.25">
      <c r="A10" s="515">
        <f>'進度表'!C17</f>
        <v>2.93</v>
      </c>
      <c r="B10" s="516">
        <f>'進度表'!F17/100*$A10</f>
        <v>0</v>
      </c>
      <c r="C10" s="516">
        <f>'進度表'!G17/100*$A10</f>
        <v>0</v>
      </c>
      <c r="D10" s="516">
        <f>'進度表'!H17/100*$A10</f>
        <v>0</v>
      </c>
      <c r="E10" s="516">
        <f>'進度表'!I17/100*$A10</f>
        <v>0</v>
      </c>
      <c r="F10" s="516">
        <f>'進度表'!J17/100*$A10</f>
        <v>0.2344</v>
      </c>
      <c r="G10" s="516">
        <f>'進度表'!K17/100*$A10</f>
        <v>0.4688</v>
      </c>
      <c r="H10" s="516">
        <f>'進度表'!L17/100*$A10</f>
        <v>0.6739</v>
      </c>
      <c r="I10" s="516">
        <f>'進度表'!M17/100*$A10</f>
        <v>0.9083</v>
      </c>
      <c r="J10" s="516">
        <f>'進度表'!N17/100*$A10</f>
        <v>1.1427</v>
      </c>
      <c r="K10" s="516">
        <f>'進度表'!O17/100*$A10</f>
        <v>1.3478</v>
      </c>
      <c r="L10" s="516">
        <f>'進度表'!P17/100*$A10</f>
        <v>1.5822</v>
      </c>
      <c r="M10" s="516">
        <f>'進度表'!Q17/100*$A10</f>
        <v>1.8166</v>
      </c>
      <c r="N10" s="516">
        <f>'進度表'!R17/100*$A10</f>
        <v>2.0217</v>
      </c>
      <c r="O10" s="516">
        <f>'進度表'!S17/100*$A10</f>
        <v>2.2561</v>
      </c>
      <c r="P10" s="516">
        <f>'進度表'!T17/100*$A10</f>
        <v>2.4905</v>
      </c>
      <c r="Q10" s="516">
        <f>'進度表'!U17/100*$A10</f>
        <v>2.7249</v>
      </c>
      <c r="R10" s="516">
        <f>'進度表'!V17/100*$A10</f>
        <v>2.93</v>
      </c>
      <c r="S10" s="516">
        <f>'進度表'!W17/100*$A10</f>
        <v>2.93</v>
      </c>
      <c r="T10" s="516">
        <f>'進度表'!X17/100*$A10</f>
        <v>2.93</v>
      </c>
      <c r="U10" s="516">
        <f>'進度表'!Y17/100*$A10</f>
        <v>2.93</v>
      </c>
      <c r="V10" s="516">
        <f>'進度表'!Z17/100*$A10</f>
        <v>2.93</v>
      </c>
      <c r="W10" s="516">
        <f>'進度表'!AA17/100*$A10</f>
        <v>2.93</v>
      </c>
    </row>
    <row r="11" spans="1:23" ht="14.25">
      <c r="A11" s="515">
        <f>'進度表'!C18</f>
        <v>0.59</v>
      </c>
      <c r="B11" s="516">
        <f>'進度表'!F18/100*$A11</f>
        <v>0</v>
      </c>
      <c r="C11" s="516">
        <f>'進度表'!G18/100*$A11</f>
        <v>0</v>
      </c>
      <c r="D11" s="516">
        <f>'進度表'!H18/100*$A11</f>
        <v>0</v>
      </c>
      <c r="E11" s="516">
        <f>'進度表'!I18/100*$A11</f>
        <v>0</v>
      </c>
      <c r="F11" s="516">
        <f>'進度表'!J18/100*$A11</f>
        <v>0.0472</v>
      </c>
      <c r="G11" s="516">
        <f>'進度表'!K18/100*$A11</f>
        <v>0.0944</v>
      </c>
      <c r="H11" s="516">
        <f>'進度表'!L18/100*$A11</f>
        <v>0.1357</v>
      </c>
      <c r="I11" s="516">
        <f>'進度表'!M18/100*$A11</f>
        <v>0.1829</v>
      </c>
      <c r="J11" s="516">
        <f>'進度表'!N18/100*$A11</f>
        <v>0.2301</v>
      </c>
      <c r="K11" s="516">
        <f>'進度表'!O18/100*$A11</f>
        <v>0.2714</v>
      </c>
      <c r="L11" s="516">
        <f>'進度表'!P18/100*$A11</f>
        <v>0.3186</v>
      </c>
      <c r="M11" s="516">
        <f>'進度表'!Q18/100*$A11</f>
        <v>0.3658</v>
      </c>
      <c r="N11" s="516">
        <f>'進度表'!R18/100*$A11</f>
        <v>0.4071</v>
      </c>
      <c r="O11" s="516">
        <f>'進度表'!S18/100*$A11</f>
        <v>0.4543</v>
      </c>
      <c r="P11" s="516">
        <f>'進度表'!T18/100*$A11</f>
        <v>0.5015</v>
      </c>
      <c r="Q11" s="516">
        <f>'進度表'!U18/100*$A11</f>
        <v>0.5487</v>
      </c>
      <c r="R11" s="516">
        <f>'進度表'!V18/100*$A11</f>
        <v>0.59</v>
      </c>
      <c r="S11" s="516">
        <f>'進度表'!W18/100*$A11</f>
        <v>0.59</v>
      </c>
      <c r="T11" s="516">
        <f>'進度表'!X18/100*$A11</f>
        <v>0.59</v>
      </c>
      <c r="U11" s="516">
        <f>'進度表'!Y18/100*$A11</f>
        <v>0.59</v>
      </c>
      <c r="V11" s="516">
        <f>'進度表'!Z18/100*$A11</f>
        <v>0.59</v>
      </c>
      <c r="W11" s="516">
        <f>'進度表'!AA18/100*$A11</f>
        <v>0.59</v>
      </c>
    </row>
    <row r="12" spans="1:23" ht="14.25">
      <c r="A12" s="515">
        <f>'進度表'!C19</f>
        <v>3.54</v>
      </c>
      <c r="B12" s="516">
        <f>'進度表'!F19/100*$A12</f>
        <v>0</v>
      </c>
      <c r="C12" s="516">
        <f>'進度表'!G19/100*$A12</f>
        <v>0</v>
      </c>
      <c r="D12" s="516">
        <f>'進度表'!H19/100*$A12</f>
        <v>0</v>
      </c>
      <c r="E12" s="516">
        <f>'進度表'!I19/100*$A12</f>
        <v>0</v>
      </c>
      <c r="F12" s="516">
        <f>'進度表'!J19/100*$A12</f>
        <v>0.2832</v>
      </c>
      <c r="G12" s="516">
        <f>'進度表'!K19/100*$A12</f>
        <v>0.5664</v>
      </c>
      <c r="H12" s="516">
        <f>'進度表'!L19/100*$A12</f>
        <v>0.8142</v>
      </c>
      <c r="I12" s="516">
        <f>'進度表'!M19/100*$A12</f>
        <v>1.0974</v>
      </c>
      <c r="J12" s="516">
        <f>'進度表'!N19/100*$A12</f>
        <v>1.3806</v>
      </c>
      <c r="K12" s="516">
        <f>'進度表'!O19/100*$A12</f>
        <v>1.6284</v>
      </c>
      <c r="L12" s="516">
        <f>'進度表'!P19/100*$A12</f>
        <v>1.9116</v>
      </c>
      <c r="M12" s="516">
        <f>'進度表'!Q19/100*$A12</f>
        <v>2.1948</v>
      </c>
      <c r="N12" s="516">
        <f>'進度表'!R19/100*$A12</f>
        <v>2.4426</v>
      </c>
      <c r="O12" s="516">
        <f>'進度表'!S19/100*$A12</f>
        <v>2.7258</v>
      </c>
      <c r="P12" s="516">
        <f>'進度表'!T19/100*$A12</f>
        <v>3.009</v>
      </c>
      <c r="Q12" s="516">
        <f>'進度表'!U19/100*$A12</f>
        <v>3.2922</v>
      </c>
      <c r="R12" s="516">
        <f>'進度表'!V19/100*$A12</f>
        <v>3.54</v>
      </c>
      <c r="S12" s="516">
        <f>'進度表'!W19/100*$A12</f>
        <v>3.54</v>
      </c>
      <c r="T12" s="516">
        <f>'進度表'!X19/100*$A12</f>
        <v>3.54</v>
      </c>
      <c r="U12" s="516">
        <f>'進度表'!Y19/100*$A12</f>
        <v>3.54</v>
      </c>
      <c r="V12" s="516">
        <f>'進度表'!Z19/100*$A12</f>
        <v>3.54</v>
      </c>
      <c r="W12" s="516">
        <f>'進度表'!AA19/100*$A12</f>
        <v>3.54</v>
      </c>
    </row>
    <row r="13" spans="1:23" ht="14.25">
      <c r="A13" s="515">
        <f>'進度表'!C20</f>
        <v>15.39</v>
      </c>
      <c r="B13" s="516">
        <f>'進度表'!F20/100*$A13</f>
        <v>0</v>
      </c>
      <c r="C13" s="516">
        <f>'進度表'!G20/100*$A13</f>
        <v>0</v>
      </c>
      <c r="D13" s="516">
        <f>'進度表'!H20/100*$A13</f>
        <v>0</v>
      </c>
      <c r="E13" s="516">
        <f>'進度表'!I20/100*$A13</f>
        <v>0</v>
      </c>
      <c r="F13" s="516">
        <f>'進度表'!J20/100*$A13</f>
        <v>1.2312</v>
      </c>
      <c r="G13" s="516">
        <f>'進度表'!K20/100*$A13</f>
        <v>2.4624</v>
      </c>
      <c r="H13" s="516">
        <f>'進度表'!L20/100*$A13</f>
        <v>3.5397</v>
      </c>
      <c r="I13" s="516">
        <f>'進度表'!M20/100*$A13</f>
        <v>4.7709</v>
      </c>
      <c r="J13" s="516">
        <f>'進度表'!N20/100*$A13</f>
        <v>6.0021</v>
      </c>
      <c r="K13" s="516">
        <f>'進度表'!O20/100*$A13</f>
        <v>7.0794</v>
      </c>
      <c r="L13" s="516">
        <f>'進度表'!P20/100*$A13</f>
        <v>8.3106</v>
      </c>
      <c r="M13" s="516">
        <f>'進度表'!Q20/100*$A13</f>
        <v>9.5418</v>
      </c>
      <c r="N13" s="516">
        <f>'進度表'!R20/100*$A13</f>
        <v>10.6191</v>
      </c>
      <c r="O13" s="516">
        <f>'進度表'!S20/100*$A13</f>
        <v>11.8503</v>
      </c>
      <c r="P13" s="516">
        <f>'進度表'!T20/100*$A13</f>
        <v>13.0815</v>
      </c>
      <c r="Q13" s="516">
        <f>'進度表'!U20/100*$A13</f>
        <v>14.3127</v>
      </c>
      <c r="R13" s="516">
        <f>'進度表'!V20/100*$A13</f>
        <v>15.39</v>
      </c>
      <c r="S13" s="516">
        <f>'進度表'!W20/100*$A13</f>
        <v>15.39</v>
      </c>
      <c r="T13" s="516">
        <f>'進度表'!X20/100*$A13</f>
        <v>15.39</v>
      </c>
      <c r="U13" s="516">
        <f>'進度表'!Y20/100*$A13</f>
        <v>15.39</v>
      </c>
      <c r="V13" s="516">
        <f>'進度表'!Z20/100*$A13</f>
        <v>15.39</v>
      </c>
      <c r="W13" s="516">
        <f>'進度表'!AA20/100*$A13</f>
        <v>15.39</v>
      </c>
    </row>
    <row r="14" spans="1:23" ht="14.25">
      <c r="A14" s="515">
        <f>'進度表'!C21</f>
        <v>1.35</v>
      </c>
      <c r="B14" s="516">
        <f>'進度表'!F21/100*$A14</f>
        <v>0</v>
      </c>
      <c r="C14" s="516">
        <f>'進度表'!G21/100*$A14</f>
        <v>0</v>
      </c>
      <c r="D14" s="516">
        <f>'進度表'!H21/100*$A14</f>
        <v>0</v>
      </c>
      <c r="E14" s="516">
        <f>'進度表'!I21/100*$A14</f>
        <v>0</v>
      </c>
      <c r="F14" s="516">
        <f>'進度表'!J21/100*$A14</f>
        <v>0.108</v>
      </c>
      <c r="G14" s="516">
        <f>'進度表'!K21/100*$A14</f>
        <v>0.216</v>
      </c>
      <c r="H14" s="516">
        <f>'進度表'!L21/100*$A14</f>
        <v>0.3105</v>
      </c>
      <c r="I14" s="516">
        <f>'進度表'!M21/100*$A14</f>
        <v>0.4185</v>
      </c>
      <c r="J14" s="516">
        <f>'進度表'!N21/100*$A14</f>
        <v>0.5265</v>
      </c>
      <c r="K14" s="516">
        <f>'進度表'!O21/100*$A14</f>
        <v>0.621</v>
      </c>
      <c r="L14" s="516">
        <f>'進度表'!P21/100*$A14</f>
        <v>0.729</v>
      </c>
      <c r="M14" s="516">
        <f>'進度表'!Q21/100*$A14</f>
        <v>0.837</v>
      </c>
      <c r="N14" s="516">
        <f>'進度表'!R21/100*$A14</f>
        <v>0.9315</v>
      </c>
      <c r="O14" s="516">
        <f>'進度表'!S21/100*$A14</f>
        <v>1.0395</v>
      </c>
      <c r="P14" s="516">
        <f>'進度表'!T21/100*$A14</f>
        <v>1.1475</v>
      </c>
      <c r="Q14" s="516">
        <f>'進度表'!U21/100*$A14</f>
        <v>1.2555</v>
      </c>
      <c r="R14" s="516">
        <f>'進度表'!V21/100*$A14</f>
        <v>1.35</v>
      </c>
      <c r="S14" s="516">
        <f>'進度表'!W21/100*$A14</f>
        <v>1.35</v>
      </c>
      <c r="T14" s="516">
        <f>'進度表'!X21/100*$A14</f>
        <v>1.35</v>
      </c>
      <c r="U14" s="516">
        <f>'進度表'!Y21/100*$A14</f>
        <v>1.35</v>
      </c>
      <c r="V14" s="516">
        <f>'進度表'!Z21/100*$A14</f>
        <v>1.35</v>
      </c>
      <c r="W14" s="516">
        <f>'進度表'!AA21/100*$A14</f>
        <v>1.35</v>
      </c>
    </row>
    <row r="15" spans="1:23" ht="14.25">
      <c r="A15" s="515">
        <f>'進度表'!C22</f>
        <v>4.57</v>
      </c>
      <c r="B15" s="516">
        <f>'進度表'!F22/100*$A15</f>
        <v>0</v>
      </c>
      <c r="C15" s="516">
        <f>'進度表'!G22/100*$A15</f>
        <v>0</v>
      </c>
      <c r="D15" s="516">
        <f>'進度表'!H22/100*$A15</f>
        <v>0</v>
      </c>
      <c r="E15" s="516">
        <f>'進度表'!I22/100*$A15</f>
        <v>0</v>
      </c>
      <c r="F15" s="516">
        <f>'進度表'!J22/100*$A15</f>
        <v>0.3656</v>
      </c>
      <c r="G15" s="516">
        <f>'進度表'!K22/100*$A15</f>
        <v>0.7312</v>
      </c>
      <c r="H15" s="516">
        <f>'進度表'!L22/100*$A15</f>
        <v>1.0511</v>
      </c>
      <c r="I15" s="516">
        <f>'進度表'!M22/100*$A15</f>
        <v>1.4167</v>
      </c>
      <c r="J15" s="516">
        <f>'進度表'!N22/100*$A15</f>
        <v>1.7823</v>
      </c>
      <c r="K15" s="516">
        <f>'進度表'!O22/100*$A15</f>
        <v>2.1022</v>
      </c>
      <c r="L15" s="516">
        <f>'進度表'!P22/100*$A15</f>
        <v>2.4678</v>
      </c>
      <c r="M15" s="516">
        <f>'進度表'!Q22/100*$A15</f>
        <v>2.8334</v>
      </c>
      <c r="N15" s="516">
        <f>'進度表'!R22/100*$A15</f>
        <v>3.1533</v>
      </c>
      <c r="O15" s="516">
        <f>'進度表'!S22/100*$A15</f>
        <v>3.5189</v>
      </c>
      <c r="P15" s="516">
        <f>'進度表'!T22/100*$A15</f>
        <v>3.8845</v>
      </c>
      <c r="Q15" s="516">
        <f>'進度表'!U22/100*$A15</f>
        <v>4.2501</v>
      </c>
      <c r="R15" s="516">
        <f>'進度表'!V22/100*$A15</f>
        <v>4.57</v>
      </c>
      <c r="S15" s="516">
        <f>'進度表'!W22/100*$A15</f>
        <v>4.57</v>
      </c>
      <c r="T15" s="516">
        <f>'進度表'!X22/100*$A15</f>
        <v>4.57</v>
      </c>
      <c r="U15" s="516">
        <f>'進度表'!Y22/100*$A15</f>
        <v>4.57</v>
      </c>
      <c r="V15" s="516">
        <f>'進度表'!Z22/100*$A15</f>
        <v>4.57</v>
      </c>
      <c r="W15" s="516">
        <f>'進度表'!AA22/100*$A15</f>
        <v>4.57</v>
      </c>
    </row>
    <row r="16" spans="1:23" ht="14.25">
      <c r="A16" s="515">
        <f>'進度表'!C23</f>
        <v>0.32</v>
      </c>
      <c r="B16" s="516">
        <f>'進度表'!F23/100*$A16</f>
        <v>0</v>
      </c>
      <c r="C16" s="516">
        <f>'進度表'!G23/100*$A16</f>
        <v>0</v>
      </c>
      <c r="D16" s="516">
        <f>'進度表'!H23/100*$A16</f>
        <v>0</v>
      </c>
      <c r="E16" s="516">
        <f>'進度表'!I23/100*$A16</f>
        <v>0</v>
      </c>
      <c r="F16" s="516">
        <f>'進度表'!J23/100*$A16</f>
        <v>0.0256</v>
      </c>
      <c r="G16" s="516">
        <f>'進度表'!K23/100*$A16</f>
        <v>0.0512</v>
      </c>
      <c r="H16" s="516">
        <f>'進度表'!L23/100*$A16</f>
        <v>0.0736</v>
      </c>
      <c r="I16" s="516">
        <f>'進度表'!M23/100*$A16</f>
        <v>0.0992</v>
      </c>
      <c r="J16" s="516">
        <f>'進度表'!N23/100*$A16</f>
        <v>0.1248</v>
      </c>
      <c r="K16" s="516">
        <f>'進度表'!O23/100*$A16</f>
        <v>0.1472</v>
      </c>
      <c r="L16" s="516">
        <f>'進度表'!P23/100*$A16</f>
        <v>0.1728</v>
      </c>
      <c r="M16" s="516">
        <f>'進度表'!Q23/100*$A16</f>
        <v>0.1984</v>
      </c>
      <c r="N16" s="516">
        <f>'進度表'!R23/100*$A16</f>
        <v>0.2208</v>
      </c>
      <c r="O16" s="516">
        <f>'進度表'!S23/100*$A16</f>
        <v>0.2464</v>
      </c>
      <c r="P16" s="516">
        <f>'進度表'!T23/100*$A16</f>
        <v>0.272</v>
      </c>
      <c r="Q16" s="516">
        <f>'進度表'!U23/100*$A16</f>
        <v>0.2976</v>
      </c>
      <c r="R16" s="516">
        <f>'進度表'!V23/100*$A16</f>
        <v>0.32</v>
      </c>
      <c r="S16" s="516">
        <f>'進度表'!W23/100*$A16</f>
        <v>0.32</v>
      </c>
      <c r="T16" s="516">
        <f>'進度表'!X23/100*$A16</f>
        <v>0.32</v>
      </c>
      <c r="U16" s="516">
        <f>'進度表'!Y23/100*$A16</f>
        <v>0.32</v>
      </c>
      <c r="V16" s="516">
        <f>'進度表'!Z23/100*$A16</f>
        <v>0.32</v>
      </c>
      <c r="W16" s="516">
        <f>'進度表'!AA23/100*$A16</f>
        <v>0.32</v>
      </c>
    </row>
    <row r="17" spans="1:23" ht="14.25">
      <c r="A17" s="515">
        <f>'進度表'!C24</f>
        <v>0.28</v>
      </c>
      <c r="B17" s="516">
        <f>'進度表'!F24/100*$A17</f>
        <v>0</v>
      </c>
      <c r="C17" s="516">
        <f>'進度表'!G24/100*$A17</f>
        <v>0</v>
      </c>
      <c r="D17" s="516">
        <f>'進度表'!H24/100*$A17</f>
        <v>0</v>
      </c>
      <c r="E17" s="516">
        <f>'進度表'!I24/100*$A17</f>
        <v>0</v>
      </c>
      <c r="F17" s="516">
        <f>'進度表'!J24/100*$A17</f>
        <v>0.0224</v>
      </c>
      <c r="G17" s="516">
        <f>'進度表'!K24/100*$A17</f>
        <v>0.0448</v>
      </c>
      <c r="H17" s="516">
        <f>'進度表'!L24/100*$A17</f>
        <v>0.0644</v>
      </c>
      <c r="I17" s="516">
        <f>'進度表'!M24/100*$A17</f>
        <v>0.0868</v>
      </c>
      <c r="J17" s="516">
        <f>'進度表'!N24/100*$A17</f>
        <v>0.1092</v>
      </c>
      <c r="K17" s="516">
        <f>'進度表'!O24/100*$A17</f>
        <v>0.1288</v>
      </c>
      <c r="L17" s="516">
        <f>'進度表'!P24/100*$A17</f>
        <v>0.1512</v>
      </c>
      <c r="M17" s="516">
        <f>'進度表'!Q24/100*$A17</f>
        <v>0.1736</v>
      </c>
      <c r="N17" s="516">
        <f>'進度表'!R24/100*$A17</f>
        <v>0.1932</v>
      </c>
      <c r="O17" s="516">
        <f>'進度表'!S24/100*$A17</f>
        <v>0.2156</v>
      </c>
      <c r="P17" s="516">
        <f>'進度表'!T24/100*$A17</f>
        <v>0.238</v>
      </c>
      <c r="Q17" s="516">
        <f>'進度表'!U24/100*$A17</f>
        <v>0.2604</v>
      </c>
      <c r="R17" s="516">
        <f>'進度表'!V24/100*$A17</f>
        <v>0.28</v>
      </c>
      <c r="S17" s="516">
        <f>'進度表'!W24/100*$A17</f>
        <v>0.28</v>
      </c>
      <c r="T17" s="516">
        <f>'進度表'!X24/100*$A17</f>
        <v>0.28</v>
      </c>
      <c r="U17" s="516">
        <f>'進度表'!Y24/100*$A17</f>
        <v>0.28</v>
      </c>
      <c r="V17" s="516">
        <f>'進度表'!Z24/100*$A17</f>
        <v>0.28</v>
      </c>
      <c r="W17" s="516">
        <f>'進度表'!AA24/100*$A17</f>
        <v>0.28</v>
      </c>
    </row>
    <row r="18" spans="1:23" ht="14.25">
      <c r="A18" s="515">
        <f>'進度表'!C25</f>
        <v>0.79</v>
      </c>
      <c r="B18" s="516">
        <f>'進度表'!F25/100*$A18</f>
        <v>0</v>
      </c>
      <c r="C18" s="516">
        <f>'進度表'!G25/100*$A18</f>
        <v>0</v>
      </c>
      <c r="D18" s="516">
        <f>'進度表'!H25/100*$A18</f>
        <v>0</v>
      </c>
      <c r="E18" s="516">
        <f>'進度表'!I25/100*$A18</f>
        <v>0</v>
      </c>
      <c r="F18" s="516">
        <f>'進度表'!J25/100*$A18</f>
        <v>0.0632</v>
      </c>
      <c r="G18" s="516">
        <f>'進度表'!K25/100*$A18</f>
        <v>0.1264</v>
      </c>
      <c r="H18" s="516">
        <f>'進度表'!L25/100*$A18</f>
        <v>0.1817</v>
      </c>
      <c r="I18" s="516">
        <f>'進度表'!M25/100*$A18</f>
        <v>0.2449</v>
      </c>
      <c r="J18" s="516">
        <f>'進度表'!N25/100*$A18</f>
        <v>0.3081</v>
      </c>
      <c r="K18" s="516">
        <f>'進度表'!O25/100*$A18</f>
        <v>0.3634</v>
      </c>
      <c r="L18" s="516">
        <f>'進度表'!P25/100*$A18</f>
        <v>0.4266</v>
      </c>
      <c r="M18" s="516">
        <f>'進度表'!Q25/100*$A18</f>
        <v>0.4898</v>
      </c>
      <c r="N18" s="516">
        <f>'進度表'!R25/100*$A18</f>
        <v>0.5451</v>
      </c>
      <c r="O18" s="516">
        <f>'進度表'!S25/100*$A18</f>
        <v>0.6083</v>
      </c>
      <c r="P18" s="516">
        <f>'進度表'!T25/100*$A18</f>
        <v>0.6715</v>
      </c>
      <c r="Q18" s="516">
        <f>'進度表'!U25/100*$A18</f>
        <v>0.7347</v>
      </c>
      <c r="R18" s="516">
        <f>'進度表'!V25/100*$A18</f>
        <v>0.79</v>
      </c>
      <c r="S18" s="516">
        <f>'進度表'!W25/100*$A18</f>
        <v>0.79</v>
      </c>
      <c r="T18" s="516">
        <f>'進度表'!X25/100*$A18</f>
        <v>0.79</v>
      </c>
      <c r="U18" s="516">
        <f>'進度表'!Y25/100*$A18</f>
        <v>0.79</v>
      </c>
      <c r="V18" s="516">
        <f>'進度表'!Z25/100*$A18</f>
        <v>0.79</v>
      </c>
      <c r="W18" s="516">
        <f>'進度表'!AA25/100*$A18</f>
        <v>0.79</v>
      </c>
    </row>
    <row r="19" spans="1:23" ht="14.25">
      <c r="A19" s="515">
        <f>'進度表'!C26</f>
        <v>0.15</v>
      </c>
      <c r="B19" s="516">
        <f>'進度表'!F26/100*$A19</f>
        <v>0</v>
      </c>
      <c r="C19" s="516">
        <f>'進度表'!G26/100*$A19</f>
        <v>0</v>
      </c>
      <c r="D19" s="516">
        <f>'進度表'!H26/100*$A19</f>
        <v>0</v>
      </c>
      <c r="E19" s="516">
        <f>'進度表'!I26/100*$A19</f>
        <v>0</v>
      </c>
      <c r="F19" s="516">
        <f>'進度表'!J26/100*$A19</f>
        <v>0.012</v>
      </c>
      <c r="G19" s="516">
        <f>'進度表'!K26/100*$A19</f>
        <v>0.024</v>
      </c>
      <c r="H19" s="516">
        <f>'進度表'!L26/100*$A19</f>
        <v>0.0345</v>
      </c>
      <c r="I19" s="516">
        <f>'進度表'!M26/100*$A19</f>
        <v>0.0465</v>
      </c>
      <c r="J19" s="516">
        <f>'進度表'!N26/100*$A19</f>
        <v>0.0585</v>
      </c>
      <c r="K19" s="516">
        <f>'進度表'!O26/100*$A19</f>
        <v>0.069</v>
      </c>
      <c r="L19" s="516">
        <f>'進度表'!P26/100*$A19</f>
        <v>0.081</v>
      </c>
      <c r="M19" s="516">
        <f>'進度表'!Q26/100*$A19</f>
        <v>0.093</v>
      </c>
      <c r="N19" s="516">
        <f>'進度表'!R26/100*$A19</f>
        <v>0.1035</v>
      </c>
      <c r="O19" s="516">
        <f>'進度表'!S26/100*$A19</f>
        <v>0.1155</v>
      </c>
      <c r="P19" s="516">
        <f>'進度表'!T26/100*$A19</f>
        <v>0.1275</v>
      </c>
      <c r="Q19" s="516">
        <f>'進度表'!U26/100*$A19</f>
        <v>0.1395</v>
      </c>
      <c r="R19" s="516">
        <f>'進度表'!V26/100*$A19</f>
        <v>0.15</v>
      </c>
      <c r="S19" s="516">
        <f>'進度表'!W26/100*$A19</f>
        <v>0.15</v>
      </c>
      <c r="T19" s="516">
        <f>'進度表'!X26/100*$A19</f>
        <v>0.15</v>
      </c>
      <c r="U19" s="516">
        <f>'進度表'!Y26/100*$A19</f>
        <v>0.15</v>
      </c>
      <c r="V19" s="516">
        <f>'進度表'!Z26/100*$A19</f>
        <v>0.15</v>
      </c>
      <c r="W19" s="516">
        <f>'進度表'!AA26/100*$A19</f>
        <v>0.15</v>
      </c>
    </row>
    <row r="20" spans="1:23" ht="14.25">
      <c r="A20" s="515">
        <f>'進度表'!C27</f>
        <v>0.18</v>
      </c>
      <c r="B20" s="516">
        <f>'進度表'!F27/100*$A20</f>
        <v>0</v>
      </c>
      <c r="C20" s="516">
        <f>'進度表'!G27/100*$A20</f>
        <v>0</v>
      </c>
      <c r="D20" s="516">
        <f>'進度表'!H27/100*$A20</f>
        <v>0</v>
      </c>
      <c r="E20" s="516">
        <f>'進度表'!I27/100*$A20</f>
        <v>0</v>
      </c>
      <c r="F20" s="516">
        <f>'進度表'!J27/100*$A20</f>
        <v>0.0144</v>
      </c>
      <c r="G20" s="516">
        <f>'進度表'!K27/100*$A20</f>
        <v>0.0288</v>
      </c>
      <c r="H20" s="516">
        <f>'進度表'!L27/100*$A20</f>
        <v>0.0414</v>
      </c>
      <c r="I20" s="516">
        <f>'進度表'!M27/100*$A20</f>
        <v>0.0558</v>
      </c>
      <c r="J20" s="516">
        <f>'進度表'!N27/100*$A20</f>
        <v>0.0702</v>
      </c>
      <c r="K20" s="516">
        <f>'進度表'!O27/100*$A20</f>
        <v>0.0828</v>
      </c>
      <c r="L20" s="516">
        <f>'進度表'!P27/100*$A20</f>
        <v>0.0972</v>
      </c>
      <c r="M20" s="516">
        <f>'進度表'!Q27/100*$A20</f>
        <v>0.1116</v>
      </c>
      <c r="N20" s="516">
        <f>'進度表'!R27/100*$A20</f>
        <v>0.1242</v>
      </c>
      <c r="O20" s="516">
        <f>'進度表'!S27/100*$A20</f>
        <v>0.1386</v>
      </c>
      <c r="P20" s="516">
        <f>'進度表'!T27/100*$A20</f>
        <v>0.153</v>
      </c>
      <c r="Q20" s="516">
        <f>'進度表'!U27/100*$A20</f>
        <v>0.1674</v>
      </c>
      <c r="R20" s="516">
        <f>'進度表'!V27/100*$A20</f>
        <v>0.18</v>
      </c>
      <c r="S20" s="516">
        <f>'進度表'!W27/100*$A20</f>
        <v>0.18</v>
      </c>
      <c r="T20" s="516">
        <f>'進度表'!X27/100*$A20</f>
        <v>0.18</v>
      </c>
      <c r="U20" s="516">
        <f>'進度表'!Y27/100*$A20</f>
        <v>0.18</v>
      </c>
      <c r="V20" s="516">
        <f>'進度表'!Z27/100*$A20</f>
        <v>0.18</v>
      </c>
      <c r="W20" s="516">
        <f>'進度表'!AA27/100*$A20</f>
        <v>0.18</v>
      </c>
    </row>
    <row r="21" spans="1:23" ht="14.25">
      <c r="A21" s="515">
        <f>'進度表'!C28</f>
        <v>0.46</v>
      </c>
      <c r="B21" s="516">
        <f>'進度表'!F28/100*$A21</f>
        <v>0</v>
      </c>
      <c r="C21" s="516">
        <f>'進度表'!G28/100*$A21</f>
        <v>0</v>
      </c>
      <c r="D21" s="516">
        <f>'進度表'!H28/100*$A21</f>
        <v>0</v>
      </c>
      <c r="E21" s="516">
        <f>'進度表'!I28/100*$A21</f>
        <v>0</v>
      </c>
      <c r="F21" s="516">
        <f>'進度表'!J28/100*$A21</f>
        <v>0.0368</v>
      </c>
      <c r="G21" s="516">
        <f>'進度表'!K28/100*$A21</f>
        <v>0.0736</v>
      </c>
      <c r="H21" s="516">
        <f>'進度表'!L28/100*$A21</f>
        <v>0.1058</v>
      </c>
      <c r="I21" s="516">
        <f>'進度表'!M28/100*$A21</f>
        <v>0.1426</v>
      </c>
      <c r="J21" s="516">
        <f>'進度表'!N28/100*$A21</f>
        <v>0.1794</v>
      </c>
      <c r="K21" s="516">
        <f>'進度表'!O28/100*$A21</f>
        <v>0.2116</v>
      </c>
      <c r="L21" s="516">
        <f>'進度表'!P28/100*$A21</f>
        <v>0.2484</v>
      </c>
      <c r="M21" s="516">
        <f>'進度表'!Q28/100*$A21</f>
        <v>0.2852</v>
      </c>
      <c r="N21" s="516">
        <f>'進度表'!R28/100*$A21</f>
        <v>0.3174</v>
      </c>
      <c r="O21" s="516">
        <f>'進度表'!S28/100*$A21</f>
        <v>0.3542</v>
      </c>
      <c r="P21" s="516">
        <f>'進度表'!T28/100*$A21</f>
        <v>0.391</v>
      </c>
      <c r="Q21" s="516">
        <f>'進度表'!U28/100*$A21</f>
        <v>0.4278</v>
      </c>
      <c r="R21" s="516">
        <f>'進度表'!V28/100*$A21</f>
        <v>0.46</v>
      </c>
      <c r="S21" s="516">
        <f>'進度表'!W28/100*$A21</f>
        <v>0.46</v>
      </c>
      <c r="T21" s="516">
        <f>'進度表'!X28/100*$A21</f>
        <v>0.46</v>
      </c>
      <c r="U21" s="516">
        <f>'進度表'!Y28/100*$A21</f>
        <v>0.46</v>
      </c>
      <c r="V21" s="516">
        <f>'進度表'!Z28/100*$A21</f>
        <v>0.46</v>
      </c>
      <c r="W21" s="516">
        <f>'進度表'!AA28/100*$A21</f>
        <v>0.46</v>
      </c>
    </row>
    <row r="22" spans="1:23" ht="14.25">
      <c r="A22" s="515">
        <f>'進度表'!C29</f>
        <v>0.07</v>
      </c>
      <c r="B22" s="516">
        <f>'進度表'!F29/100*$A22</f>
        <v>0</v>
      </c>
      <c r="C22" s="516">
        <f>'進度表'!G29/100*$A22</f>
        <v>0</v>
      </c>
      <c r="D22" s="516">
        <f>'進度表'!H29/100*$A22</f>
        <v>0</v>
      </c>
      <c r="E22" s="516">
        <f>'進度表'!I29/100*$A22</f>
        <v>0</v>
      </c>
      <c r="F22" s="516">
        <f>'進度表'!J29/100*$A22</f>
        <v>0.0056</v>
      </c>
      <c r="G22" s="516">
        <f>'進度表'!K29/100*$A22</f>
        <v>0.0112</v>
      </c>
      <c r="H22" s="516">
        <f>'進度表'!L29/100*$A22</f>
        <v>0.0161</v>
      </c>
      <c r="I22" s="516">
        <f>'進度表'!M29/100*$A22</f>
        <v>0.0217</v>
      </c>
      <c r="J22" s="516">
        <f>'進度表'!N29/100*$A22</f>
        <v>0.0273</v>
      </c>
      <c r="K22" s="516">
        <f>'進度表'!O29/100*$A22</f>
        <v>0.0322</v>
      </c>
      <c r="L22" s="516">
        <f>'進度表'!P29/100*$A22</f>
        <v>0.0378</v>
      </c>
      <c r="M22" s="516">
        <f>'進度表'!Q29/100*$A22</f>
        <v>0.0434</v>
      </c>
      <c r="N22" s="516">
        <f>'進度表'!R29/100*$A22</f>
        <v>0.0483</v>
      </c>
      <c r="O22" s="516">
        <f>'進度表'!S29/100*$A22</f>
        <v>0.0539</v>
      </c>
      <c r="P22" s="516">
        <f>'進度表'!T29/100*$A22</f>
        <v>0.0595</v>
      </c>
      <c r="Q22" s="516">
        <f>'進度表'!U29/100*$A22</f>
        <v>0.0651</v>
      </c>
      <c r="R22" s="516">
        <f>'進度表'!V29/100*$A22</f>
        <v>0.07</v>
      </c>
      <c r="S22" s="516">
        <f>'進度表'!W29/100*$A22</f>
        <v>0.07</v>
      </c>
      <c r="T22" s="516">
        <f>'進度表'!X29/100*$A22</f>
        <v>0.07</v>
      </c>
      <c r="U22" s="516">
        <f>'進度表'!Y29/100*$A22</f>
        <v>0.07</v>
      </c>
      <c r="V22" s="516">
        <f>'進度表'!Z29/100*$A22</f>
        <v>0.07</v>
      </c>
      <c r="W22" s="516">
        <f>'進度表'!AA29/100*$A22</f>
        <v>0.07</v>
      </c>
    </row>
    <row r="23" spans="1:23" ht="14.25">
      <c r="A23" s="515">
        <f>'進度表'!C30</f>
        <v>0.13</v>
      </c>
      <c r="B23" s="516">
        <f>'進度表'!F30/100*$A23</f>
        <v>0</v>
      </c>
      <c r="C23" s="516">
        <f>'進度表'!G30/100*$A23</f>
        <v>0</v>
      </c>
      <c r="D23" s="516">
        <f>'進度表'!H30/100*$A23</f>
        <v>0</v>
      </c>
      <c r="E23" s="516">
        <f>'進度表'!I30/100*$A23</f>
        <v>0</v>
      </c>
      <c r="F23" s="516">
        <f>'進度表'!J30/100*$A23</f>
        <v>0.0104</v>
      </c>
      <c r="G23" s="516">
        <f>'進度表'!K30/100*$A23</f>
        <v>0.0208</v>
      </c>
      <c r="H23" s="516">
        <f>'進度表'!L30/100*$A23</f>
        <v>0.0299</v>
      </c>
      <c r="I23" s="516">
        <f>'進度表'!M30/100*$A23</f>
        <v>0.0403</v>
      </c>
      <c r="J23" s="516">
        <f>'進度表'!N30/100*$A23</f>
        <v>0.0507</v>
      </c>
      <c r="K23" s="516">
        <f>'進度表'!O30/100*$A23</f>
        <v>0.0598</v>
      </c>
      <c r="L23" s="516">
        <f>'進度表'!P30/100*$A23</f>
        <v>0.0702</v>
      </c>
      <c r="M23" s="516">
        <f>'進度表'!Q30/100*$A23</f>
        <v>0.0806</v>
      </c>
      <c r="N23" s="516">
        <f>'進度表'!R30/100*$A23</f>
        <v>0.0897</v>
      </c>
      <c r="O23" s="516">
        <f>'進度表'!S30/100*$A23</f>
        <v>0.1001</v>
      </c>
      <c r="P23" s="516">
        <f>'進度表'!T30/100*$A23</f>
        <v>0.1105</v>
      </c>
      <c r="Q23" s="516">
        <f>'進度表'!U30/100*$A23</f>
        <v>0.1209</v>
      </c>
      <c r="R23" s="516">
        <f>'進度表'!V30/100*$A23</f>
        <v>0.13</v>
      </c>
      <c r="S23" s="516">
        <f>'進度表'!W30/100*$A23</f>
        <v>0.13</v>
      </c>
      <c r="T23" s="516">
        <f>'進度表'!X30/100*$A23</f>
        <v>0.13</v>
      </c>
      <c r="U23" s="516">
        <f>'進度表'!Y30/100*$A23</f>
        <v>0.13</v>
      </c>
      <c r="V23" s="516">
        <f>'進度表'!Z30/100*$A23</f>
        <v>0.13</v>
      </c>
      <c r="W23" s="516">
        <f>'進度表'!AA30/100*$A23</f>
        <v>0.13</v>
      </c>
    </row>
    <row r="24" spans="1:23" ht="14.25">
      <c r="A24" s="515">
        <f>'進度表'!C31</f>
        <v>11.73</v>
      </c>
      <c r="B24" s="516">
        <f>'進度表'!F31/100*$A24</f>
        <v>0</v>
      </c>
      <c r="C24" s="516">
        <f>'進度表'!G31/100*$A24</f>
        <v>0</v>
      </c>
      <c r="D24" s="516">
        <f>'進度表'!H31/100*$A24</f>
        <v>0</v>
      </c>
      <c r="E24" s="516">
        <f>'進度表'!I31/100*$A24</f>
        <v>0</v>
      </c>
      <c r="F24" s="516">
        <f>'進度表'!J31/100*$A24</f>
        <v>0</v>
      </c>
      <c r="G24" s="516">
        <f>'進度表'!K31/100*$A24</f>
        <v>0</v>
      </c>
      <c r="H24" s="516">
        <f>'進度表'!L31/100*$A24</f>
        <v>0</v>
      </c>
      <c r="I24" s="516">
        <f>'進度表'!M31/100*$A24</f>
        <v>1.0557</v>
      </c>
      <c r="J24" s="516">
        <f>'進度表'!N31/100*$A24</f>
        <v>2.1114</v>
      </c>
      <c r="K24" s="516">
        <f>'進度表'!O31/100*$A24</f>
        <v>3.1671</v>
      </c>
      <c r="L24" s="516">
        <f>'進度表'!P31/100*$A24</f>
        <v>4.2228</v>
      </c>
      <c r="M24" s="516">
        <f>'進度表'!Q31/100*$A24</f>
        <v>5.2785</v>
      </c>
      <c r="N24" s="516">
        <f>'進度表'!R31/100*$A24</f>
        <v>6.3342</v>
      </c>
      <c r="O24" s="516">
        <f>'進度表'!S31/100*$A24</f>
        <v>7.3899</v>
      </c>
      <c r="P24" s="516">
        <f>'進度表'!T31/100*$A24</f>
        <v>8.4456</v>
      </c>
      <c r="Q24" s="516">
        <f>'進度表'!U31/100*$A24</f>
        <v>9.5013</v>
      </c>
      <c r="R24" s="516">
        <f>'進度表'!V31/100*$A24</f>
        <v>10.557</v>
      </c>
      <c r="S24" s="516">
        <f>'進度表'!W31/100*$A24</f>
        <v>11.73</v>
      </c>
      <c r="T24" s="516">
        <f>'進度表'!X31/100*$A24</f>
        <v>11.73</v>
      </c>
      <c r="U24" s="516">
        <f>'進度表'!Y31/100*$A24</f>
        <v>11.73</v>
      </c>
      <c r="V24" s="516">
        <f>'進度表'!Z31/100*$A24</f>
        <v>11.73</v>
      </c>
      <c r="W24" s="516">
        <f>'進度表'!AA31/100*$A24</f>
        <v>11.73</v>
      </c>
    </row>
    <row r="25" spans="1:23" ht="14.25">
      <c r="A25" s="515">
        <f>'進度表'!C32</f>
        <v>0.41</v>
      </c>
      <c r="B25" s="516">
        <f>'進度表'!F32/100*$A25</f>
        <v>0</v>
      </c>
      <c r="C25" s="516">
        <f>'進度表'!G32/100*$A25</f>
        <v>0</v>
      </c>
      <c r="D25" s="516">
        <f>'進度表'!H32/100*$A25</f>
        <v>0</v>
      </c>
      <c r="E25" s="516">
        <f>'進度表'!I32/100*$A25</f>
        <v>0</v>
      </c>
      <c r="F25" s="516">
        <f>'進度表'!J32/100*$A25</f>
        <v>0.0287</v>
      </c>
      <c r="G25" s="516">
        <f>'進度表'!K32/100*$A25</f>
        <v>0.0574</v>
      </c>
      <c r="H25" s="516">
        <f>'進度表'!L32/100*$A25</f>
        <v>0.082</v>
      </c>
      <c r="I25" s="516">
        <f>'進度表'!M32/100*$A25</f>
        <v>0.1107</v>
      </c>
      <c r="J25" s="516">
        <f>'進度表'!N32/100*$A25</f>
        <v>0.1394</v>
      </c>
      <c r="K25" s="516">
        <f>'進度表'!O32/100*$A25</f>
        <v>0.164</v>
      </c>
      <c r="L25" s="516">
        <f>'進度表'!P32/100*$A25</f>
        <v>0.1927</v>
      </c>
      <c r="M25" s="516">
        <f>'進度表'!Q32/100*$A25</f>
        <v>0.2214</v>
      </c>
      <c r="N25" s="516">
        <f>'進度表'!R32/100*$A25</f>
        <v>0.246</v>
      </c>
      <c r="O25" s="516">
        <f>'進度表'!S32/100*$A25</f>
        <v>0.2747</v>
      </c>
      <c r="P25" s="516">
        <f>'進度表'!T32/100*$A25</f>
        <v>0.3034</v>
      </c>
      <c r="Q25" s="516">
        <f>'進度表'!U32/100*$A25</f>
        <v>0.328</v>
      </c>
      <c r="R25" s="516">
        <f>'進度表'!V32/100*$A25</f>
        <v>0.3567</v>
      </c>
      <c r="S25" s="516">
        <f>'進度表'!W32/100*$A25</f>
        <v>0.3854</v>
      </c>
      <c r="T25" s="516">
        <f>'進度表'!X32/100*$A25</f>
        <v>0.41</v>
      </c>
      <c r="U25" s="516">
        <f>'進度表'!Y32/100*$A25</f>
        <v>0.41</v>
      </c>
      <c r="V25" s="516">
        <f>'進度表'!Z32/100*$A25</f>
        <v>0.41</v>
      </c>
      <c r="W25" s="516">
        <f>'進度表'!AA32/100*$A25</f>
        <v>0.41</v>
      </c>
    </row>
    <row r="26" spans="1:23" ht="14.25">
      <c r="A26" s="515">
        <f>'進度表'!C33</f>
        <v>1</v>
      </c>
      <c r="B26" s="516">
        <f>'進度表'!F33/100*$A26</f>
        <v>0</v>
      </c>
      <c r="C26" s="516">
        <f>'進度表'!G33/100*$A26</f>
        <v>0</v>
      </c>
      <c r="D26" s="516">
        <f>'進度表'!H33/100*$A26</f>
        <v>0</v>
      </c>
      <c r="E26" s="516">
        <f>'進度表'!I33/100*$A26</f>
        <v>0</v>
      </c>
      <c r="F26" s="516">
        <f>'進度表'!J33/100*$A26</f>
        <v>0</v>
      </c>
      <c r="G26" s="516">
        <f>'進度表'!K33/100*$A26</f>
        <v>0</v>
      </c>
      <c r="H26" s="516">
        <f>'進度表'!L33/100*$A26</f>
        <v>0.08</v>
      </c>
      <c r="I26" s="516">
        <f>'進度表'!M33/100*$A26</f>
        <v>0.16</v>
      </c>
      <c r="J26" s="516">
        <f>'進度表'!N33/100*$A26</f>
        <v>0.25</v>
      </c>
      <c r="K26" s="516">
        <f>'進度表'!O33/100*$A26</f>
        <v>0.33</v>
      </c>
      <c r="L26" s="516">
        <f>'進度表'!P33/100*$A26</f>
        <v>0.41</v>
      </c>
      <c r="M26" s="516">
        <f>'進度表'!Q33/100*$A26</f>
        <v>0.5</v>
      </c>
      <c r="N26" s="516">
        <f>'進度表'!R33/100*$A26</f>
        <v>0.58</v>
      </c>
      <c r="O26" s="516">
        <f>'進度表'!S33/100*$A26</f>
        <v>0.66</v>
      </c>
      <c r="P26" s="516">
        <f>'進度表'!T33/100*$A26</f>
        <v>0.75</v>
      </c>
      <c r="Q26" s="516">
        <f>'進度表'!U33/100*$A26</f>
        <v>0.83</v>
      </c>
      <c r="R26" s="516">
        <f>'進度表'!V33/100*$A26</f>
        <v>0.91</v>
      </c>
      <c r="S26" s="516">
        <f>'進度表'!W33/100*$A26</f>
        <v>1</v>
      </c>
      <c r="T26" s="516">
        <f>'進度表'!X33/100*$A26</f>
        <v>1</v>
      </c>
      <c r="U26" s="516">
        <f>'進度表'!Y33/100*$A26</f>
        <v>1</v>
      </c>
      <c r="V26" s="516">
        <f>'進度表'!Z33/100*$A26</f>
        <v>1</v>
      </c>
      <c r="W26" s="516">
        <f>'進度表'!AA33/100*$A26</f>
        <v>1</v>
      </c>
    </row>
    <row r="27" spans="1:23" s="202" customFormat="1" ht="14.25">
      <c r="A27" s="515">
        <f>'進度表'!C34</f>
        <v>1.84</v>
      </c>
      <c r="B27" s="516">
        <f>'進度表'!F34/100*$A27</f>
        <v>0</v>
      </c>
      <c r="C27" s="516">
        <f>'進度表'!G34/100*$A27</f>
        <v>0</v>
      </c>
      <c r="D27" s="516">
        <f>'進度表'!H34/100*$A27</f>
        <v>0</v>
      </c>
      <c r="E27" s="516">
        <f>'進度表'!I34/100*$A27</f>
        <v>0</v>
      </c>
      <c r="F27" s="516">
        <f>'進度表'!J34/100*$A27</f>
        <v>0.1472</v>
      </c>
      <c r="G27" s="516">
        <f>'進度表'!K34/100*$A27</f>
        <v>0.2944</v>
      </c>
      <c r="H27" s="516">
        <f>'進度表'!L34/100*$A27</f>
        <v>0.4232</v>
      </c>
      <c r="I27" s="516">
        <f>'進度表'!M34/100*$A27</f>
        <v>0.5704</v>
      </c>
      <c r="J27" s="516">
        <f>'進度表'!N34/100*$A27</f>
        <v>0.7176</v>
      </c>
      <c r="K27" s="516">
        <f>'進度表'!O34/100*$A27</f>
        <v>0.8464</v>
      </c>
      <c r="L27" s="516">
        <f>'進度表'!P34/100*$A27</f>
        <v>0.9936</v>
      </c>
      <c r="M27" s="516">
        <f>'進度表'!Q34/100*$A27</f>
        <v>1.1408</v>
      </c>
      <c r="N27" s="516">
        <f>'進度表'!R34/100*$A27</f>
        <v>1.2696</v>
      </c>
      <c r="O27" s="516">
        <f>'進度表'!S34/100*$A27</f>
        <v>1.4168</v>
      </c>
      <c r="P27" s="516">
        <f>'進度表'!T34/100*$A27</f>
        <v>1.564</v>
      </c>
      <c r="Q27" s="516">
        <f>'進度表'!U34/100*$A27</f>
        <v>1.7112</v>
      </c>
      <c r="R27" s="516">
        <f>'進度表'!V34/100*$A27</f>
        <v>1.84</v>
      </c>
      <c r="S27" s="516">
        <f>'進度表'!W34/100*$A27</f>
        <v>1.84</v>
      </c>
      <c r="T27" s="516">
        <f>'進度表'!X34/100*$A27</f>
        <v>1.84</v>
      </c>
      <c r="U27" s="516">
        <f>'進度表'!Y34/100*$A27</f>
        <v>1.84</v>
      </c>
      <c r="V27" s="516">
        <f>'進度表'!Z34/100*$A27</f>
        <v>1.84</v>
      </c>
      <c r="W27" s="516">
        <f>'進度表'!AA34/100*$A27</f>
        <v>1.84</v>
      </c>
    </row>
    <row r="28" spans="1:23" ht="14.25">
      <c r="A28" s="515">
        <f>'進度表'!C35</f>
        <v>0.28</v>
      </c>
      <c r="B28" s="516">
        <f>'進度表'!F35/100*$A28</f>
        <v>0</v>
      </c>
      <c r="C28" s="516">
        <f>'進度表'!G35/100*$A28</f>
        <v>0</v>
      </c>
      <c r="D28" s="516">
        <f>'進度表'!H35/100*$A28</f>
        <v>0</v>
      </c>
      <c r="E28" s="516">
        <f>'進度表'!I35/100*$A28</f>
        <v>0</v>
      </c>
      <c r="F28" s="516">
        <f>'進度表'!J35/100*$A28</f>
        <v>0</v>
      </c>
      <c r="G28" s="516">
        <f>'進度表'!K35/100*$A28</f>
        <v>0</v>
      </c>
      <c r="H28" s="516">
        <f>'進度表'!L35/100*$A28</f>
        <v>0</v>
      </c>
      <c r="I28" s="516">
        <f>'進度表'!M35/100*$A28</f>
        <v>0</v>
      </c>
      <c r="J28" s="516">
        <f>'進度表'!N35/100*$A28</f>
        <v>0</v>
      </c>
      <c r="K28" s="516">
        <f>'進度表'!O35/100*$A28</f>
        <v>0</v>
      </c>
      <c r="L28" s="516">
        <f>'進度表'!P35/100*$A28</f>
        <v>0</v>
      </c>
      <c r="M28" s="516">
        <f>'進度表'!Q35/100*$A28</f>
        <v>0</v>
      </c>
      <c r="N28" s="516">
        <f>'進度表'!R35/100*$A28</f>
        <v>0</v>
      </c>
      <c r="O28" s="516">
        <f>'進度表'!S35/100*$A28</f>
        <v>0.07</v>
      </c>
      <c r="P28" s="516">
        <f>'進度表'!T35/100*$A28</f>
        <v>0.14</v>
      </c>
      <c r="Q28" s="516">
        <f>'進度表'!U35/100*$A28</f>
        <v>0.21</v>
      </c>
      <c r="R28" s="516">
        <f>'進度表'!V35/100*$A28</f>
        <v>0.28</v>
      </c>
      <c r="S28" s="516">
        <f>'進度表'!W35/100*$A28</f>
        <v>0.28</v>
      </c>
      <c r="T28" s="516">
        <f>'進度表'!X35/100*$A28</f>
        <v>0.28</v>
      </c>
      <c r="U28" s="516">
        <f>'進度表'!Y35/100*$A28</f>
        <v>0.28</v>
      </c>
      <c r="V28" s="516">
        <f>'進度表'!Z35/100*$A28</f>
        <v>0.28</v>
      </c>
      <c r="W28" s="516">
        <f>'進度表'!AA35/100*$A28</f>
        <v>0.28</v>
      </c>
    </row>
    <row r="29" spans="1:23" ht="14.25">
      <c r="A29" s="515">
        <f>'進度表'!C36</f>
        <v>0.51</v>
      </c>
      <c r="B29" s="516">
        <f>'進度表'!F36/100*$A29</f>
        <v>0</v>
      </c>
      <c r="C29" s="516">
        <f>'進度表'!G36/100*$A29</f>
        <v>0</v>
      </c>
      <c r="D29" s="516">
        <f>'進度表'!H36/100*$A29</f>
        <v>0</v>
      </c>
      <c r="E29" s="516">
        <f>'進度表'!I36/100*$A29</f>
        <v>0</v>
      </c>
      <c r="F29" s="516">
        <f>'進度表'!J36/100*$A29</f>
        <v>0.0408</v>
      </c>
      <c r="G29" s="516">
        <f>'進度表'!K36/100*$A29</f>
        <v>0.0816</v>
      </c>
      <c r="H29" s="516">
        <f>'進度表'!L36/100*$A29</f>
        <v>0.1173</v>
      </c>
      <c r="I29" s="516">
        <f>'進度表'!M36/100*$A29</f>
        <v>0.1581</v>
      </c>
      <c r="J29" s="516">
        <f>'進度表'!N36/100*$A29</f>
        <v>0.1989</v>
      </c>
      <c r="K29" s="516">
        <f>'進度表'!O36/100*$A29</f>
        <v>0.2346</v>
      </c>
      <c r="L29" s="516">
        <f>'進度表'!P36/100*$A29</f>
        <v>0.2754</v>
      </c>
      <c r="M29" s="516">
        <f>'進度表'!Q36/100*$A29</f>
        <v>0.3162</v>
      </c>
      <c r="N29" s="516">
        <f>'進度表'!R36/100*$A29</f>
        <v>0.3519</v>
      </c>
      <c r="O29" s="516">
        <f>'進度表'!S36/100*$A29</f>
        <v>0.3927</v>
      </c>
      <c r="P29" s="516">
        <f>'進度表'!T36/100*$A29</f>
        <v>0.4335</v>
      </c>
      <c r="Q29" s="516">
        <f>'進度表'!U36/100*$A29</f>
        <v>0.4743</v>
      </c>
      <c r="R29" s="516">
        <f>'進度表'!V36/100*$A29</f>
        <v>0.51</v>
      </c>
      <c r="S29" s="516">
        <f>'進度表'!W36/100*$A29</f>
        <v>0.51</v>
      </c>
      <c r="T29" s="516">
        <f>'進度表'!X36/100*$A29</f>
        <v>0.51</v>
      </c>
      <c r="U29" s="516">
        <f>'進度表'!Y36/100*$A29</f>
        <v>0.51</v>
      </c>
      <c r="V29" s="516">
        <f>'進度表'!Z36/100*$A29</f>
        <v>0.51</v>
      </c>
      <c r="W29" s="516">
        <f>'進度表'!AA36/100*$A29</f>
        <v>0.51</v>
      </c>
    </row>
    <row r="30" spans="1:23" ht="14.25">
      <c r="A30" s="515">
        <f>'進度表'!C37</f>
        <v>1.35</v>
      </c>
      <c r="B30" s="516">
        <f>'進度表'!F37/100*$A30</f>
        <v>0</v>
      </c>
      <c r="C30" s="516">
        <f>'進度表'!G37/100*$A30</f>
        <v>0</v>
      </c>
      <c r="D30" s="516">
        <f>'進度表'!H37/100*$A30</f>
        <v>0</v>
      </c>
      <c r="E30" s="516">
        <f>'進度表'!I37/100*$A30</f>
        <v>0</v>
      </c>
      <c r="F30" s="516">
        <f>'進度表'!J37/100*$A30</f>
        <v>0.108</v>
      </c>
      <c r="G30" s="516">
        <f>'進度表'!K37/100*$A30</f>
        <v>0.216</v>
      </c>
      <c r="H30" s="516">
        <f>'進度表'!L37/100*$A30</f>
        <v>0.3105</v>
      </c>
      <c r="I30" s="516">
        <f>'進度表'!M37/100*$A30</f>
        <v>0.4185</v>
      </c>
      <c r="J30" s="516">
        <f>'進度表'!N37/100*$A30</f>
        <v>0.5265</v>
      </c>
      <c r="K30" s="516">
        <f>'進度表'!O37/100*$A30</f>
        <v>0.621</v>
      </c>
      <c r="L30" s="516">
        <f>'進度表'!P37/100*$A30</f>
        <v>0.729</v>
      </c>
      <c r="M30" s="516">
        <f>'進度表'!Q37/100*$A30</f>
        <v>0.837</v>
      </c>
      <c r="N30" s="516">
        <f>'進度表'!R37/100*$A30</f>
        <v>0.9315</v>
      </c>
      <c r="O30" s="516">
        <f>'進度表'!S37/100*$A30</f>
        <v>1.0395</v>
      </c>
      <c r="P30" s="516">
        <f>'進度表'!T37/100*$A30</f>
        <v>1.1475</v>
      </c>
      <c r="Q30" s="516">
        <f>'進度表'!U37/100*$A30</f>
        <v>1.2555</v>
      </c>
      <c r="R30" s="516">
        <f>'進度表'!V37/100*$A30</f>
        <v>1.35</v>
      </c>
      <c r="S30" s="516">
        <f>'進度表'!W37/100*$A30</f>
        <v>1.35</v>
      </c>
      <c r="T30" s="516">
        <f>'進度表'!X37/100*$A30</f>
        <v>1.35</v>
      </c>
      <c r="U30" s="516">
        <f>'進度表'!Y37/100*$A30</f>
        <v>1.35</v>
      </c>
      <c r="V30" s="516">
        <f>'進度表'!Z37/100*$A30</f>
        <v>1.35</v>
      </c>
      <c r="W30" s="516">
        <f>'進度表'!AA37/100*$A30</f>
        <v>1.35</v>
      </c>
    </row>
    <row r="31" spans="1:23" ht="14.25">
      <c r="A31" s="515">
        <f>'進度表'!C38</f>
        <v>0.03</v>
      </c>
      <c r="B31" s="516">
        <f>'進度表'!F38/100*$A31</f>
        <v>0</v>
      </c>
      <c r="C31" s="516">
        <f>'進度表'!G38/100*$A31</f>
        <v>0</v>
      </c>
      <c r="D31" s="516">
        <f>'進度表'!H38/100*$A31</f>
        <v>0</v>
      </c>
      <c r="E31" s="516">
        <f>'進度表'!I38/100*$A31</f>
        <v>0</v>
      </c>
      <c r="F31" s="516">
        <f>'進度表'!J38/100*$A31</f>
        <v>0</v>
      </c>
      <c r="G31" s="516">
        <f>'進度表'!K38/100*$A31</f>
        <v>0</v>
      </c>
      <c r="H31" s="516">
        <f>'進度表'!L38/100*$A31</f>
        <v>0</v>
      </c>
      <c r="I31" s="516">
        <f>'進度表'!M38/100*$A31</f>
        <v>0</v>
      </c>
      <c r="J31" s="516">
        <f>'進度表'!N38/100*$A31</f>
        <v>0</v>
      </c>
      <c r="K31" s="516">
        <f>'進度表'!O38/100*$A31</f>
        <v>0.003</v>
      </c>
      <c r="L31" s="516">
        <f>'進度表'!P38/100*$A31</f>
        <v>0.006</v>
      </c>
      <c r="M31" s="516">
        <f>'進度表'!Q38/100*$A31</f>
        <v>0.009</v>
      </c>
      <c r="N31" s="516">
        <f>'進度表'!R38/100*$A31</f>
        <v>0.012</v>
      </c>
      <c r="O31" s="516">
        <f>'進度表'!S38/100*$A31</f>
        <v>0.015</v>
      </c>
      <c r="P31" s="516">
        <f>'進度表'!T38/100*$A31</f>
        <v>0.018</v>
      </c>
      <c r="Q31" s="516">
        <f>'進度表'!U38/100*$A31</f>
        <v>0.021</v>
      </c>
      <c r="R31" s="516">
        <f>'進度表'!V38/100*$A31</f>
        <v>0.024</v>
      </c>
      <c r="S31" s="516">
        <f>'進度表'!W38/100*$A31</f>
        <v>0.027</v>
      </c>
      <c r="T31" s="516">
        <f>'進度表'!X38/100*$A31</f>
        <v>0.03</v>
      </c>
      <c r="U31" s="516">
        <f>'進度表'!Y38/100*$A31</f>
        <v>0.03</v>
      </c>
      <c r="V31" s="516">
        <f>'進度表'!Z38/100*$A31</f>
        <v>0.03</v>
      </c>
      <c r="W31" s="516">
        <f>'進度表'!AA38/100*$A31</f>
        <v>0.03</v>
      </c>
    </row>
    <row r="32" spans="1:23" ht="14.25">
      <c r="A32" s="515">
        <f>'進度表'!C39</f>
        <v>0.03</v>
      </c>
      <c r="B32" s="516">
        <f>'進度表'!F39/100*$A32</f>
        <v>0</v>
      </c>
      <c r="C32" s="516">
        <f>'進度表'!G39/100*$A32</f>
        <v>0</v>
      </c>
      <c r="D32" s="516">
        <f>'進度表'!H39/100*$A32</f>
        <v>0</v>
      </c>
      <c r="E32" s="516">
        <f>'進度表'!I39/100*$A32</f>
        <v>0</v>
      </c>
      <c r="F32" s="516">
        <f>'進度表'!J39/100*$A32</f>
        <v>0</v>
      </c>
      <c r="G32" s="516">
        <f>'進度表'!K39/100*$A32</f>
        <v>0</v>
      </c>
      <c r="H32" s="516">
        <f>'進度表'!L39/100*$A32</f>
        <v>0</v>
      </c>
      <c r="I32" s="516">
        <f>'進度表'!M39/100*$A32</f>
        <v>0</v>
      </c>
      <c r="J32" s="516">
        <f>'進度表'!N39/100*$A32</f>
        <v>0</v>
      </c>
      <c r="K32" s="516">
        <f>'進度表'!O39/100*$A32</f>
        <v>0.003</v>
      </c>
      <c r="L32" s="516">
        <f>'進度表'!P39/100*$A32</f>
        <v>0.006</v>
      </c>
      <c r="M32" s="516">
        <f>'進度表'!Q39/100*$A32</f>
        <v>0.009</v>
      </c>
      <c r="N32" s="516">
        <f>'進度表'!R39/100*$A32</f>
        <v>0.012</v>
      </c>
      <c r="O32" s="516">
        <f>'進度表'!S39/100*$A32</f>
        <v>0.015</v>
      </c>
      <c r="P32" s="516">
        <f>'進度表'!T39/100*$A32</f>
        <v>0.018</v>
      </c>
      <c r="Q32" s="516">
        <f>'進度表'!U39/100*$A32</f>
        <v>0.021</v>
      </c>
      <c r="R32" s="516">
        <f>'進度表'!V39/100*$A32</f>
        <v>0.024</v>
      </c>
      <c r="S32" s="516">
        <f>'進度表'!W39/100*$A32</f>
        <v>0.027</v>
      </c>
      <c r="T32" s="516">
        <f>'進度表'!X39/100*$A32</f>
        <v>0.03</v>
      </c>
      <c r="U32" s="516">
        <f>'進度表'!Y39/100*$A32</f>
        <v>0.03</v>
      </c>
      <c r="V32" s="516">
        <f>'進度表'!Z39/100*$A32</f>
        <v>0.03</v>
      </c>
      <c r="W32" s="516">
        <f>'進度表'!AA39/100*$A32</f>
        <v>0.03</v>
      </c>
    </row>
    <row r="33" spans="1:23" ht="14.25">
      <c r="A33" s="515">
        <f>'進度表'!C40</f>
        <v>0.03</v>
      </c>
      <c r="B33" s="516">
        <f>'進度表'!F40/100*$A33</f>
        <v>0</v>
      </c>
      <c r="C33" s="516">
        <f>'進度表'!G40/100*$A33</f>
        <v>0</v>
      </c>
      <c r="D33" s="516">
        <f>'進度表'!H40/100*$A33</f>
        <v>0</v>
      </c>
      <c r="E33" s="516">
        <f>'進度表'!I40/100*$A33</f>
        <v>0</v>
      </c>
      <c r="F33" s="516">
        <f>'進度表'!J40/100*$A33</f>
        <v>0</v>
      </c>
      <c r="G33" s="516">
        <f>'進度表'!K40/100*$A33</f>
        <v>0</v>
      </c>
      <c r="H33" s="516">
        <f>'進度表'!L40/100*$A33</f>
        <v>0</v>
      </c>
      <c r="I33" s="516">
        <f>'進度表'!M40/100*$A33</f>
        <v>0</v>
      </c>
      <c r="J33" s="516">
        <f>'進度表'!N40/100*$A33</f>
        <v>0</v>
      </c>
      <c r="K33" s="516">
        <f>'進度表'!O40/100*$A33</f>
        <v>0.003</v>
      </c>
      <c r="L33" s="516">
        <f>'進度表'!P40/100*$A33</f>
        <v>0.006</v>
      </c>
      <c r="M33" s="516">
        <f>'進度表'!Q40/100*$A33</f>
        <v>0.009</v>
      </c>
      <c r="N33" s="516">
        <f>'進度表'!R40/100*$A33</f>
        <v>0.012</v>
      </c>
      <c r="O33" s="516">
        <f>'進度表'!S40/100*$A33</f>
        <v>0.015</v>
      </c>
      <c r="P33" s="516">
        <f>'進度表'!T40/100*$A33</f>
        <v>0.018</v>
      </c>
      <c r="Q33" s="516">
        <f>'進度表'!U40/100*$A33</f>
        <v>0.021</v>
      </c>
      <c r="R33" s="516">
        <f>'進度表'!V40/100*$A33</f>
        <v>0.024</v>
      </c>
      <c r="S33" s="516">
        <f>'進度表'!W40/100*$A33</f>
        <v>0.027</v>
      </c>
      <c r="T33" s="516">
        <f>'進度表'!X40/100*$A33</f>
        <v>0.03</v>
      </c>
      <c r="U33" s="516">
        <f>'進度表'!Y40/100*$A33</f>
        <v>0.03</v>
      </c>
      <c r="V33" s="516">
        <f>'進度表'!Z40/100*$A33</f>
        <v>0.03</v>
      </c>
      <c r="W33" s="516">
        <f>'進度表'!AA40/100*$A33</f>
        <v>0.03</v>
      </c>
    </row>
    <row r="34" spans="1:23" s="201" customFormat="1" ht="14.25">
      <c r="A34" s="1224">
        <f>'進度表'!C41</f>
        <v>1.12</v>
      </c>
      <c r="B34" s="516">
        <f>'進度表'!F41/100*$A34</f>
        <v>0</v>
      </c>
      <c r="C34" s="516">
        <f>'進度表'!G41/100*$A34</f>
        <v>0</v>
      </c>
      <c r="D34" s="516">
        <f>'進度表'!H41/100*$A34</f>
        <v>0</v>
      </c>
      <c r="E34" s="516">
        <f>'進度表'!I41/100*$A34</f>
        <v>0</v>
      </c>
      <c r="F34" s="516">
        <f>'進度表'!J41/100*$A34</f>
        <v>0</v>
      </c>
      <c r="G34" s="516">
        <f>'進度表'!K41/100*$A34</f>
        <v>0</v>
      </c>
      <c r="H34" s="516">
        <f>'進度表'!L41/100*$A34</f>
        <v>0</v>
      </c>
      <c r="I34" s="516">
        <f>'進度表'!M41/100*$A34</f>
        <v>0</v>
      </c>
      <c r="J34" s="516">
        <f>'進度表'!N41/100*$A34</f>
        <v>0</v>
      </c>
      <c r="K34" s="516">
        <f>'進度表'!O41/100*$A34</f>
        <v>0.112</v>
      </c>
      <c r="L34" s="516">
        <f>'進度表'!P41/100*$A34</f>
        <v>0.224</v>
      </c>
      <c r="M34" s="516">
        <f>'進度表'!Q41/100*$A34</f>
        <v>0.336</v>
      </c>
      <c r="N34" s="516">
        <f>'進度表'!R41/100*$A34</f>
        <v>0.448</v>
      </c>
      <c r="O34" s="516">
        <f>'進度表'!S41/100*$A34</f>
        <v>0.56</v>
      </c>
      <c r="P34" s="516">
        <f>'進度表'!T41/100*$A34</f>
        <v>0.672</v>
      </c>
      <c r="Q34" s="516">
        <f>'進度表'!U41/100*$A34</f>
        <v>0.784</v>
      </c>
      <c r="R34" s="516">
        <f>'進度表'!V41/100*$A34</f>
        <v>0.896</v>
      </c>
      <c r="S34" s="516">
        <f>'進度表'!W41/100*$A34</f>
        <v>1.008</v>
      </c>
      <c r="T34" s="516">
        <f>'進度表'!X41/100*$A34</f>
        <v>1.12</v>
      </c>
      <c r="U34" s="516">
        <f>'進度表'!Y41/100*$A34</f>
        <v>1.12</v>
      </c>
      <c r="V34" s="516">
        <f>'進度表'!Z41/100*$A34</f>
        <v>1.12</v>
      </c>
      <c r="W34" s="516">
        <f>'進度表'!AA41/100*$A34</f>
        <v>1.12</v>
      </c>
    </row>
    <row r="35" spans="1:23" ht="14.25">
      <c r="A35" s="515">
        <f>'進度表'!C53</f>
        <v>0.16</v>
      </c>
      <c r="B35" s="516">
        <f>'進度表'!F53/100*$A35</f>
        <v>0</v>
      </c>
      <c r="C35" s="516">
        <f>'進度表'!G53/100*$A35</f>
        <v>0</v>
      </c>
      <c r="D35" s="516">
        <f>'進度表'!H53/100*$A35</f>
        <v>0</v>
      </c>
      <c r="E35" s="516">
        <f>'進度表'!I53/100*$A35</f>
        <v>0</v>
      </c>
      <c r="F35" s="516">
        <f>'進度表'!J53/100*$A35</f>
        <v>0</v>
      </c>
      <c r="G35" s="516">
        <f>'進度表'!K53/100*$A35</f>
        <v>0</v>
      </c>
      <c r="H35" s="516">
        <f>'進度表'!L53/100*$A35</f>
        <v>0</v>
      </c>
      <c r="I35" s="516">
        <f>'進度表'!M53/100*$A35</f>
        <v>0</v>
      </c>
      <c r="J35" s="516">
        <f>'進度表'!N53/100*$A35</f>
        <v>0</v>
      </c>
      <c r="K35" s="516">
        <f>'進度表'!O53/100*$A35</f>
        <v>0</v>
      </c>
      <c r="L35" s="516">
        <f>'進度表'!P53/100*$A35</f>
        <v>0</v>
      </c>
      <c r="M35" s="516">
        <f>'進度表'!Q53/100*$A35</f>
        <v>0</v>
      </c>
      <c r="N35" s="516">
        <f>'進度表'!R53/100*$A35</f>
        <v>0</v>
      </c>
      <c r="O35" s="516">
        <f>'進度表'!S53/100*$A35</f>
        <v>0</v>
      </c>
      <c r="P35" s="516">
        <f>'進度表'!T53/100*$A35</f>
        <v>0.04</v>
      </c>
      <c r="Q35" s="516">
        <f>'進度表'!U53/100*$A35</f>
        <v>0.08</v>
      </c>
      <c r="R35" s="516">
        <f>'進度表'!V53/100*$A35</f>
        <v>0.12</v>
      </c>
      <c r="S35" s="516">
        <f>'進度表'!W53/100*$A35</f>
        <v>0.16</v>
      </c>
      <c r="T35" s="516">
        <f>'進度表'!X53/100*$A35</f>
        <v>0.16</v>
      </c>
      <c r="U35" s="516">
        <f>'進度表'!Y53/100*$A35</f>
        <v>0.16</v>
      </c>
      <c r="V35" s="516">
        <f>'進度表'!Z53/100*$A35</f>
        <v>0.16</v>
      </c>
      <c r="W35" s="516">
        <f>'進度表'!AA53/100*$A35</f>
        <v>0.16</v>
      </c>
    </row>
    <row r="36" spans="1:23" ht="14.25">
      <c r="A36" s="515">
        <f>'進度表'!C54</f>
        <v>1.62</v>
      </c>
      <c r="B36" s="516">
        <f>'進度表'!F54/100*$A36</f>
        <v>0</v>
      </c>
      <c r="C36" s="516">
        <f>'進度表'!G54/100*$A36</f>
        <v>0</v>
      </c>
      <c r="D36" s="516">
        <f>'進度表'!H54/100*$A36</f>
        <v>0</v>
      </c>
      <c r="E36" s="516">
        <f>'進度表'!I54/100*$A36</f>
        <v>0</v>
      </c>
      <c r="F36" s="516">
        <f>'進度表'!J54/100*$A36</f>
        <v>0</v>
      </c>
      <c r="G36" s="516">
        <f>'進度表'!K54/100*$A36</f>
        <v>0</v>
      </c>
      <c r="H36" s="516">
        <f>'進度表'!L54/100*$A36</f>
        <v>0</v>
      </c>
      <c r="I36" s="516">
        <f>'進度表'!M54/100*$A36</f>
        <v>0</v>
      </c>
      <c r="J36" s="516">
        <f>'進度表'!N54/100*$A36</f>
        <v>0</v>
      </c>
      <c r="K36" s="516">
        <f>'進度表'!O54/100*$A36</f>
        <v>0</v>
      </c>
      <c r="L36" s="516">
        <f>'進度表'!P54/100*$A36</f>
        <v>0</v>
      </c>
      <c r="M36" s="516">
        <f>'進度表'!Q54/100*$A36</f>
        <v>0</v>
      </c>
      <c r="N36" s="516">
        <f>'進度表'!R54/100*$A36</f>
        <v>0</v>
      </c>
      <c r="O36" s="516">
        <f>'進度表'!S54/100*$A36</f>
        <v>0</v>
      </c>
      <c r="P36" s="516">
        <f>'進度表'!T54/100*$A36</f>
        <v>0.405</v>
      </c>
      <c r="Q36" s="516">
        <f>'進度表'!U54/100*$A36</f>
        <v>0.81</v>
      </c>
      <c r="R36" s="516">
        <f>'進度表'!V54/100*$A36</f>
        <v>1.215</v>
      </c>
      <c r="S36" s="516">
        <f>'進度表'!W54/100*$A36</f>
        <v>1.62</v>
      </c>
      <c r="T36" s="516">
        <f>'進度表'!X54/100*$A36</f>
        <v>1.62</v>
      </c>
      <c r="U36" s="516">
        <f>'進度表'!Y54/100*$A36</f>
        <v>1.62</v>
      </c>
      <c r="V36" s="516">
        <f>'進度表'!Z54/100*$A36</f>
        <v>1.62</v>
      </c>
      <c r="W36" s="516">
        <f>'進度表'!AA54/100*$A36</f>
        <v>1.62</v>
      </c>
    </row>
    <row r="37" spans="1:23" ht="14.25">
      <c r="A37" s="515">
        <f>'進度表'!C55</f>
        <v>2.92</v>
      </c>
      <c r="B37" s="516">
        <f>'進度表'!F55/100*$A37</f>
        <v>0</v>
      </c>
      <c r="C37" s="516">
        <f>'進度表'!G55/100*$A37</f>
        <v>0</v>
      </c>
      <c r="D37" s="516">
        <f>'進度表'!H55/100*$A37</f>
        <v>0</v>
      </c>
      <c r="E37" s="516">
        <f>'進度表'!I55/100*$A37</f>
        <v>0</v>
      </c>
      <c r="F37" s="516">
        <f>'進度表'!J55/100*$A37</f>
        <v>0</v>
      </c>
      <c r="G37" s="516">
        <f>'進度表'!K55/100*$A37</f>
        <v>0</v>
      </c>
      <c r="H37" s="516">
        <f>'進度表'!L55/100*$A37</f>
        <v>0</v>
      </c>
      <c r="I37" s="516">
        <f>'進度表'!M55/100*$A37</f>
        <v>0</v>
      </c>
      <c r="J37" s="516">
        <f>'進度表'!N55/100*$A37</f>
        <v>0</v>
      </c>
      <c r="K37" s="516">
        <f>'進度表'!O55/100*$A37</f>
        <v>0</v>
      </c>
      <c r="L37" s="516">
        <f>'進度表'!P55/100*$A37</f>
        <v>0</v>
      </c>
      <c r="M37" s="516">
        <f>'進度表'!Q55/100*$A37</f>
        <v>0</v>
      </c>
      <c r="N37" s="516">
        <f>'進度表'!R55/100*$A37</f>
        <v>0</v>
      </c>
      <c r="O37" s="516">
        <f>'進度表'!S55/100*$A37</f>
        <v>0</v>
      </c>
      <c r="P37" s="516">
        <f>'進度表'!T55/100*$A37</f>
        <v>0.73</v>
      </c>
      <c r="Q37" s="516">
        <f>'進度表'!U55/100*$A37</f>
        <v>1.46</v>
      </c>
      <c r="R37" s="516">
        <f>'進度表'!V55/100*$A37</f>
        <v>2.19</v>
      </c>
      <c r="S37" s="516">
        <f>'進度表'!W55/100*$A37</f>
        <v>2.92</v>
      </c>
      <c r="T37" s="516">
        <f>'進度表'!X55/100*$A37</f>
        <v>2.92</v>
      </c>
      <c r="U37" s="516">
        <f>'進度表'!Y55/100*$A37</f>
        <v>2.92</v>
      </c>
      <c r="V37" s="516">
        <f>'進度表'!Z55/100*$A37</f>
        <v>2.92</v>
      </c>
      <c r="W37" s="516">
        <f>'進度表'!AA55/100*$A37</f>
        <v>2.92</v>
      </c>
    </row>
    <row r="38" spans="1:23" ht="14.25">
      <c r="A38" s="515">
        <f>'進度表'!C56</f>
        <v>0.01</v>
      </c>
      <c r="B38" s="516">
        <f>'進度表'!F56/100*$A38</f>
        <v>0</v>
      </c>
      <c r="C38" s="516">
        <f>'進度表'!G56/100*$A38</f>
        <v>0.005</v>
      </c>
      <c r="D38" s="516">
        <f>'進度表'!H56/100*$A38</f>
        <v>0.01</v>
      </c>
      <c r="E38" s="516">
        <f>'進度表'!I56/100*$A38</f>
        <v>0.01</v>
      </c>
      <c r="F38" s="516">
        <f>'進度表'!J56/100*$A38</f>
        <v>0.01</v>
      </c>
      <c r="G38" s="516">
        <f>'進度表'!K56/100*$A38</f>
        <v>0.01</v>
      </c>
      <c r="H38" s="516">
        <f>'進度表'!L56/100*$A38</f>
        <v>0.01</v>
      </c>
      <c r="I38" s="516">
        <f>'進度表'!M56/100*$A38</f>
        <v>0.01</v>
      </c>
      <c r="J38" s="516">
        <f>'進度表'!N56/100*$A38</f>
        <v>0.01</v>
      </c>
      <c r="K38" s="516">
        <f>'進度表'!O56/100*$A38</f>
        <v>0.01</v>
      </c>
      <c r="L38" s="516">
        <f>'進度表'!P56/100*$A38</f>
        <v>0.01</v>
      </c>
      <c r="M38" s="516">
        <f>'進度表'!Q56/100*$A38</f>
        <v>0.01</v>
      </c>
      <c r="N38" s="516">
        <f>'進度表'!R56/100*$A38</f>
        <v>0.01</v>
      </c>
      <c r="O38" s="516">
        <f>'進度表'!S56/100*$A38</f>
        <v>0.01</v>
      </c>
      <c r="P38" s="516">
        <f>'進度表'!T56/100*$A38</f>
        <v>0.01</v>
      </c>
      <c r="Q38" s="516">
        <f>'進度表'!U56/100*$A38</f>
        <v>0.01</v>
      </c>
      <c r="R38" s="516">
        <f>'進度表'!V56/100*$A38</f>
        <v>0.01</v>
      </c>
      <c r="S38" s="516">
        <f>'進度表'!W56/100*$A38</f>
        <v>0.01</v>
      </c>
      <c r="T38" s="516">
        <f>'進度表'!X56/100*$A38</f>
        <v>0.01</v>
      </c>
      <c r="U38" s="516">
        <f>'進度表'!Y56/100*$A38</f>
        <v>0.01</v>
      </c>
      <c r="V38" s="516">
        <f>'進度表'!Z56/100*$A38</f>
        <v>0.01</v>
      </c>
      <c r="W38" s="516">
        <f>'進度表'!AA56/100*$A38</f>
        <v>0.01</v>
      </c>
    </row>
    <row r="39" spans="1:23" ht="14.25">
      <c r="A39" s="515">
        <f>'進度表'!C57</f>
        <v>0</v>
      </c>
      <c r="B39" s="516">
        <f>'進度表'!F57/100*$A39</f>
        <v>0</v>
      </c>
      <c r="C39" s="516">
        <f>'進度表'!G57/100*$A39</f>
        <v>0</v>
      </c>
      <c r="D39" s="516">
        <f>'進度表'!H57/100*$A39</f>
        <v>0</v>
      </c>
      <c r="E39" s="516">
        <f>'進度表'!I57/100*$A39</f>
        <v>0</v>
      </c>
      <c r="F39" s="516">
        <f>'進度表'!J57/100*$A39</f>
        <v>0</v>
      </c>
      <c r="G39" s="516">
        <f>'進度表'!K57/100*$A39</f>
        <v>0</v>
      </c>
      <c r="H39" s="516">
        <f>'進度表'!L57/100*$A39</f>
        <v>0</v>
      </c>
      <c r="I39" s="516">
        <f>'進度表'!M57/100*$A39</f>
        <v>0</v>
      </c>
      <c r="J39" s="516">
        <f>'進度表'!N57/100*$A39</f>
        <v>0</v>
      </c>
      <c r="K39" s="516">
        <f>'進度表'!O57/100*$A39</f>
        <v>0</v>
      </c>
      <c r="L39" s="516">
        <f>'進度表'!P57/100*$A39</f>
        <v>0</v>
      </c>
      <c r="M39" s="516">
        <f>'進度表'!Q57/100*$A39</f>
        <v>0</v>
      </c>
      <c r="N39" s="516">
        <f>'進度表'!R57/100*$A39</f>
        <v>0</v>
      </c>
      <c r="O39" s="516">
        <f>'進度表'!S57/100*$A39</f>
        <v>0</v>
      </c>
      <c r="P39" s="516">
        <f>'進度表'!T57/100*$A39</f>
        <v>0</v>
      </c>
      <c r="Q39" s="516">
        <f>'進度表'!U57/100*$A39</f>
        <v>0</v>
      </c>
      <c r="R39" s="516">
        <f>'進度表'!V57/100*$A39</f>
        <v>0</v>
      </c>
      <c r="S39" s="516">
        <f>'進度表'!W57/100*$A39</f>
        <v>0</v>
      </c>
      <c r="T39" s="516">
        <f>'進度表'!X57/100*$A39</f>
        <v>0</v>
      </c>
      <c r="U39" s="516">
        <f>'進度表'!Y57/100*$A39</f>
        <v>0</v>
      </c>
      <c r="V39" s="516">
        <f>'進度表'!Z57/100*$A39</f>
        <v>0</v>
      </c>
      <c r="W39" s="516">
        <f>'進度表'!AA57/100*$A39</f>
        <v>0</v>
      </c>
    </row>
    <row r="40" spans="1:23" ht="14.25">
      <c r="A40" s="515">
        <f>'進度表'!C58</f>
        <v>0.01</v>
      </c>
      <c r="B40" s="516">
        <f>'進度表'!F58/100*$A40</f>
        <v>0</v>
      </c>
      <c r="C40" s="516">
        <f>'進度表'!G58/100*$A40</f>
        <v>0.005</v>
      </c>
      <c r="D40" s="516">
        <f>'進度表'!H58/100*$A40</f>
        <v>0.01</v>
      </c>
      <c r="E40" s="516">
        <f>'進度表'!I58/100*$A40</f>
        <v>0.01</v>
      </c>
      <c r="F40" s="516">
        <f>'進度表'!J58/100*$A40</f>
        <v>0.01</v>
      </c>
      <c r="G40" s="516">
        <f>'進度表'!K58/100*$A40</f>
        <v>0.01</v>
      </c>
      <c r="H40" s="516">
        <f>'進度表'!L58/100*$A40</f>
        <v>0.01</v>
      </c>
      <c r="I40" s="516">
        <f>'進度表'!M58/100*$A40</f>
        <v>0.01</v>
      </c>
      <c r="J40" s="516">
        <f>'進度表'!N58/100*$A40</f>
        <v>0.01</v>
      </c>
      <c r="K40" s="516">
        <f>'進度表'!O58/100*$A40</f>
        <v>0.01</v>
      </c>
      <c r="L40" s="516">
        <f>'進度表'!P58/100*$A40</f>
        <v>0.01</v>
      </c>
      <c r="M40" s="516">
        <f>'進度表'!Q58/100*$A40</f>
        <v>0.01</v>
      </c>
      <c r="N40" s="516">
        <f>'進度表'!R58/100*$A40</f>
        <v>0.01</v>
      </c>
      <c r="O40" s="516">
        <f>'進度表'!S58/100*$A40</f>
        <v>0.01</v>
      </c>
      <c r="P40" s="516">
        <f>'進度表'!T58/100*$A40</f>
        <v>0.01</v>
      </c>
      <c r="Q40" s="516">
        <f>'進度表'!U58/100*$A40</f>
        <v>0.01</v>
      </c>
      <c r="R40" s="516">
        <f>'進度表'!V58/100*$A40</f>
        <v>0.01</v>
      </c>
      <c r="S40" s="516">
        <f>'進度表'!W58/100*$A40</f>
        <v>0.01</v>
      </c>
      <c r="T40" s="516">
        <f>'進度表'!X58/100*$A40</f>
        <v>0.01</v>
      </c>
      <c r="U40" s="516">
        <f>'進度表'!Y58/100*$A40</f>
        <v>0.01</v>
      </c>
      <c r="V40" s="516">
        <f>'進度表'!Z58/100*$A40</f>
        <v>0.01</v>
      </c>
      <c r="W40" s="516">
        <f>'進度表'!AA58/100*$A40</f>
        <v>0.01</v>
      </c>
    </row>
    <row r="41" spans="1:23" ht="14.25">
      <c r="A41" s="515">
        <f>'進度表'!C59</f>
        <v>0.01</v>
      </c>
      <c r="B41" s="516">
        <f>'進度表'!F59/100*$A41</f>
        <v>0</v>
      </c>
      <c r="C41" s="516">
        <f>'進度表'!G59/100*$A41</f>
        <v>0</v>
      </c>
      <c r="D41" s="516">
        <f>'進度表'!H59/100*$A41</f>
        <v>0</v>
      </c>
      <c r="E41" s="516">
        <f>'進度表'!I59/100*$A41</f>
        <v>0</v>
      </c>
      <c r="F41" s="516">
        <f>'進度表'!J59/100*$A41</f>
        <v>0</v>
      </c>
      <c r="G41" s="516">
        <f>'進度表'!K59/100*$A41</f>
        <v>0</v>
      </c>
      <c r="H41" s="516">
        <f>'進度表'!L59/100*$A41</f>
        <v>0</v>
      </c>
      <c r="I41" s="516">
        <f>'進度表'!M59/100*$A41</f>
        <v>0.0009</v>
      </c>
      <c r="J41" s="516">
        <f>'進度表'!N59/100*$A41</f>
        <v>0.0018</v>
      </c>
      <c r="K41" s="516">
        <f>'進度表'!O59/100*$A41</f>
        <v>0.0027</v>
      </c>
      <c r="L41" s="516">
        <f>'進度表'!P59/100*$A41</f>
        <v>0.0036</v>
      </c>
      <c r="M41" s="516">
        <f>'進度表'!Q59/100*$A41</f>
        <v>0.0045</v>
      </c>
      <c r="N41" s="516">
        <f>'進度表'!R59/100*$A41</f>
        <v>0.0054</v>
      </c>
      <c r="O41" s="516">
        <f>'進度表'!S59/100*$A41</f>
        <v>0.0063</v>
      </c>
      <c r="P41" s="516">
        <f>'進度表'!T59/100*$A41</f>
        <v>0.0072</v>
      </c>
      <c r="Q41" s="516">
        <f>'進度表'!U59/100*$A41</f>
        <v>0.0081</v>
      </c>
      <c r="R41" s="516">
        <f>'進度表'!V59/100*$A41</f>
        <v>0.009</v>
      </c>
      <c r="S41" s="516">
        <f>'進度表'!W59/100*$A41</f>
        <v>0.01</v>
      </c>
      <c r="T41" s="516">
        <f>'進度表'!X59/100*$A41</f>
        <v>0.01</v>
      </c>
      <c r="U41" s="516">
        <f>'進度表'!Y59/100*$A41</f>
        <v>0.01</v>
      </c>
      <c r="V41" s="516">
        <f>'進度表'!Z59/100*$A41</f>
        <v>0.01</v>
      </c>
      <c r="W41" s="516">
        <f>'進度表'!AA59/100*$A41</f>
        <v>0.01</v>
      </c>
    </row>
    <row r="42" spans="1:23" ht="14.25">
      <c r="A42" s="515">
        <f>'進度表'!C60</f>
        <v>0.01</v>
      </c>
      <c r="B42" s="516">
        <f>'進度表'!F60/100*$A42</f>
        <v>0</v>
      </c>
      <c r="C42" s="516">
        <f>'進度表'!G60/100*$A42</f>
        <v>0</v>
      </c>
      <c r="D42" s="516">
        <f>'進度表'!H60/100*$A42</f>
        <v>0</v>
      </c>
      <c r="E42" s="516">
        <f>'進度表'!I60/100*$A42</f>
        <v>0</v>
      </c>
      <c r="F42" s="516">
        <f>'進度表'!J60/100*$A42</f>
        <v>0</v>
      </c>
      <c r="G42" s="516">
        <f>'進度表'!K60/100*$A42</f>
        <v>0</v>
      </c>
      <c r="H42" s="516">
        <f>'進度表'!L60/100*$A42</f>
        <v>0</v>
      </c>
      <c r="I42" s="516">
        <f>'進度表'!M60/100*$A42</f>
        <v>0.002</v>
      </c>
      <c r="J42" s="516">
        <f>'進度表'!N60/100*$A42</f>
        <v>0.004</v>
      </c>
      <c r="K42" s="516">
        <f>'進度表'!O60/100*$A42</f>
        <v>0.006</v>
      </c>
      <c r="L42" s="516">
        <f>'進度表'!P60/100*$A42</f>
        <v>0.008</v>
      </c>
      <c r="M42" s="516">
        <f>'進度表'!Q60/100*$A42</f>
        <v>0.01</v>
      </c>
      <c r="N42" s="516">
        <f>'進度表'!R60/100*$A42</f>
        <v>0.01</v>
      </c>
      <c r="O42" s="516">
        <f>'進度表'!S60/100*$A42</f>
        <v>0.01</v>
      </c>
      <c r="P42" s="516">
        <f>'進度表'!T60/100*$A42</f>
        <v>0.01</v>
      </c>
      <c r="Q42" s="516">
        <f>'進度表'!U60/100*$A42</f>
        <v>0.01</v>
      </c>
      <c r="R42" s="516">
        <f>'進度表'!V60/100*$A42</f>
        <v>0.01</v>
      </c>
      <c r="S42" s="516">
        <f>'進度表'!W60/100*$A42</f>
        <v>0.01</v>
      </c>
      <c r="T42" s="516">
        <f>'進度表'!X60/100*$A42</f>
        <v>0.01</v>
      </c>
      <c r="U42" s="516">
        <f>'進度表'!Y60/100*$A42</f>
        <v>0.01</v>
      </c>
      <c r="V42" s="516">
        <f>'進度表'!Z60/100*$A42</f>
        <v>0.01</v>
      </c>
      <c r="W42" s="516">
        <f>'進度表'!AA60/100*$A42</f>
        <v>0.01</v>
      </c>
    </row>
    <row r="43" spans="1:23" ht="14.25">
      <c r="A43" s="515">
        <f>'進度表'!C61</f>
        <v>0.09</v>
      </c>
      <c r="B43" s="516">
        <f>'進度表'!F61/100*$A43</f>
        <v>0</v>
      </c>
      <c r="C43" s="516">
        <f>'進度表'!G61/100*$A43</f>
        <v>0</v>
      </c>
      <c r="D43" s="516">
        <f>'進度表'!H61/100*$A43</f>
        <v>0</v>
      </c>
      <c r="E43" s="516">
        <f>'進度表'!I61/100*$A43</f>
        <v>0</v>
      </c>
      <c r="F43" s="516">
        <f>'進度表'!J61/100*$A43</f>
        <v>0</v>
      </c>
      <c r="G43" s="516">
        <f>'進度表'!K61/100*$A43</f>
        <v>0</v>
      </c>
      <c r="H43" s="516">
        <f>'進度表'!L61/100*$A43</f>
        <v>0</v>
      </c>
      <c r="I43" s="516">
        <f>'進度表'!M61/100*$A43</f>
        <v>0.018</v>
      </c>
      <c r="J43" s="516">
        <f>'進度表'!N61/100*$A43</f>
        <v>0.036</v>
      </c>
      <c r="K43" s="516">
        <f>'進度表'!O61/100*$A43</f>
        <v>0.054</v>
      </c>
      <c r="L43" s="516">
        <f>'進度表'!P61/100*$A43</f>
        <v>0.072</v>
      </c>
      <c r="M43" s="516">
        <f>'進度表'!Q61/100*$A43</f>
        <v>0.09</v>
      </c>
      <c r="N43" s="516">
        <f>'進度表'!R61/100*$A43</f>
        <v>0.09</v>
      </c>
      <c r="O43" s="516">
        <f>'進度表'!S61/100*$A43</f>
        <v>0.09</v>
      </c>
      <c r="P43" s="516">
        <f>'進度表'!T61/100*$A43</f>
        <v>0.09</v>
      </c>
      <c r="Q43" s="516">
        <f>'進度表'!U61/100*$A43</f>
        <v>0.09</v>
      </c>
      <c r="R43" s="516">
        <f>'進度表'!V61/100*$A43</f>
        <v>0.09</v>
      </c>
      <c r="S43" s="516">
        <f>'進度表'!W61/100*$A43</f>
        <v>0.09</v>
      </c>
      <c r="T43" s="516">
        <f>'進度表'!X61/100*$A43</f>
        <v>0.09</v>
      </c>
      <c r="U43" s="516">
        <f>'進度表'!Y61/100*$A43</f>
        <v>0.09</v>
      </c>
      <c r="V43" s="516">
        <f>'進度表'!Z61/100*$A43</f>
        <v>0.09</v>
      </c>
      <c r="W43" s="516">
        <f>'進度表'!AA61/100*$A43</f>
        <v>0.09</v>
      </c>
    </row>
    <row r="44" spans="1:23" ht="14.25">
      <c r="A44" s="515">
        <f>'進度表'!C62</f>
        <v>0.03</v>
      </c>
      <c r="B44" s="516">
        <f>'進度表'!F62/100*$A44</f>
        <v>0</v>
      </c>
      <c r="C44" s="516">
        <f>'進度表'!G62/100*$A44</f>
        <v>0</v>
      </c>
      <c r="D44" s="516">
        <f>'進度表'!H62/100*$A44</f>
        <v>0</v>
      </c>
      <c r="E44" s="516">
        <f>'進度表'!I62/100*$A44</f>
        <v>0</v>
      </c>
      <c r="F44" s="516">
        <f>'進度表'!J62/100*$A44</f>
        <v>0</v>
      </c>
      <c r="G44" s="516">
        <f>'進度表'!K62/100*$A44</f>
        <v>0</v>
      </c>
      <c r="H44" s="516">
        <f>'進度表'!L62/100*$A44</f>
        <v>0</v>
      </c>
      <c r="I44" s="516">
        <f>'進度表'!M62/100*$A44</f>
        <v>0</v>
      </c>
      <c r="J44" s="516">
        <f>'進度表'!N62/100*$A44</f>
        <v>0</v>
      </c>
      <c r="K44" s="516">
        <f>'進度表'!O62/100*$A44</f>
        <v>0</v>
      </c>
      <c r="L44" s="516">
        <f>'進度表'!P62/100*$A44</f>
        <v>0</v>
      </c>
      <c r="M44" s="516">
        <f>'進度表'!Q62/100*$A44</f>
        <v>0</v>
      </c>
      <c r="N44" s="516">
        <f>'進度表'!R62/100*$A44</f>
        <v>0</v>
      </c>
      <c r="O44" s="516">
        <f>'進度表'!S62/100*$A44</f>
        <v>0</v>
      </c>
      <c r="P44" s="516">
        <f>'進度表'!T62/100*$A44</f>
        <v>0.0075</v>
      </c>
      <c r="Q44" s="516">
        <f>'進度表'!U62/100*$A44</f>
        <v>0.015</v>
      </c>
      <c r="R44" s="516">
        <f>'進度表'!V62/100*$A44</f>
        <v>0.0225</v>
      </c>
      <c r="S44" s="516">
        <f>'進度表'!W62/100*$A44</f>
        <v>0.03</v>
      </c>
      <c r="T44" s="516">
        <f>'進度表'!X62/100*$A44</f>
        <v>0.03</v>
      </c>
      <c r="U44" s="516">
        <f>'進度表'!Y62/100*$A44</f>
        <v>0.03</v>
      </c>
      <c r="V44" s="516">
        <f>'進度表'!Z62/100*$A44</f>
        <v>0.03</v>
      </c>
      <c r="W44" s="516">
        <f>'進度表'!AA62/100*$A44</f>
        <v>0.03</v>
      </c>
    </row>
    <row r="45" spans="1:23" ht="14.25">
      <c r="A45" s="515">
        <f>'進度表'!C63</f>
        <v>0.01</v>
      </c>
      <c r="B45" s="516">
        <f>'進度表'!F63/100*$A45</f>
        <v>0</v>
      </c>
      <c r="C45" s="516">
        <f>'進度表'!G63/100*$A45</f>
        <v>0</v>
      </c>
      <c r="D45" s="516">
        <f>'進度表'!H63/100*$A45</f>
        <v>0</v>
      </c>
      <c r="E45" s="516">
        <f>'進度表'!I63/100*$A45</f>
        <v>0</v>
      </c>
      <c r="F45" s="516">
        <f>'進度表'!J63/100*$A45</f>
        <v>0</v>
      </c>
      <c r="G45" s="516">
        <f>'進度表'!K63/100*$A45</f>
        <v>0</v>
      </c>
      <c r="H45" s="516">
        <f>'進度表'!L63/100*$A45</f>
        <v>0</v>
      </c>
      <c r="I45" s="516">
        <f>'進度表'!M63/100*$A45</f>
        <v>0</v>
      </c>
      <c r="J45" s="516">
        <f>'進度表'!N63/100*$A45</f>
        <v>0</v>
      </c>
      <c r="K45" s="516">
        <f>'進度表'!O63/100*$A45</f>
        <v>0</v>
      </c>
      <c r="L45" s="516">
        <f>'進度表'!P63/100*$A45</f>
        <v>0</v>
      </c>
      <c r="M45" s="516">
        <f>'進度表'!Q63/100*$A45</f>
        <v>0</v>
      </c>
      <c r="N45" s="516">
        <f>'進度表'!R63/100*$A45</f>
        <v>0</v>
      </c>
      <c r="O45" s="516">
        <f>'進度表'!S63/100*$A45</f>
        <v>0</v>
      </c>
      <c r="P45" s="516">
        <f>'進度表'!T63/100*$A45</f>
        <v>0.0025</v>
      </c>
      <c r="Q45" s="516">
        <f>'進度表'!U63/100*$A45</f>
        <v>0.005</v>
      </c>
      <c r="R45" s="516">
        <f>'進度表'!V63/100*$A45</f>
        <v>0.0075</v>
      </c>
      <c r="S45" s="516">
        <f>'進度表'!W63/100*$A45</f>
        <v>0.01</v>
      </c>
      <c r="T45" s="516">
        <f>'進度表'!X63/100*$A45</f>
        <v>0.01</v>
      </c>
      <c r="U45" s="516">
        <f>'進度表'!Y63/100*$A45</f>
        <v>0.01</v>
      </c>
      <c r="V45" s="516">
        <f>'進度表'!Z63/100*$A45</f>
        <v>0.01</v>
      </c>
      <c r="W45" s="516">
        <f>'進度表'!AA63/100*$A45</f>
        <v>0.01</v>
      </c>
    </row>
    <row r="46" spans="1:23" ht="14.25">
      <c r="A46" s="515">
        <f>'進度表'!C64</f>
        <v>0.15</v>
      </c>
      <c r="B46" s="516">
        <f>'進度表'!F64/100*$A46</f>
        <v>0</v>
      </c>
      <c r="C46" s="516">
        <f>'進度表'!G64/100*$A46</f>
        <v>0</v>
      </c>
      <c r="D46" s="516">
        <f>'進度表'!H64/100*$A46</f>
        <v>0</v>
      </c>
      <c r="E46" s="516">
        <f>'進度表'!I64/100*$A46</f>
        <v>0</v>
      </c>
      <c r="F46" s="516">
        <f>'進度表'!J64/100*$A46</f>
        <v>0</v>
      </c>
      <c r="G46" s="516">
        <f>'進度表'!K64/100*$A46</f>
        <v>0</v>
      </c>
      <c r="H46" s="516">
        <f>'進度表'!L64/100*$A46</f>
        <v>0</v>
      </c>
      <c r="I46" s="516">
        <f>'進度表'!M64/100*$A46</f>
        <v>0.0135</v>
      </c>
      <c r="J46" s="516">
        <f>'進度表'!N64/100*$A46</f>
        <v>0.027</v>
      </c>
      <c r="K46" s="516">
        <f>'進度表'!O64/100*$A46</f>
        <v>0.0405</v>
      </c>
      <c r="L46" s="516">
        <f>'進度表'!P64/100*$A46</f>
        <v>0.054</v>
      </c>
      <c r="M46" s="516">
        <f>'進度表'!Q64/100*$A46</f>
        <v>0.0675</v>
      </c>
      <c r="N46" s="516">
        <f>'進度表'!R64/100*$A46</f>
        <v>0.081</v>
      </c>
      <c r="O46" s="516">
        <f>'進度表'!S64/100*$A46</f>
        <v>0.0945</v>
      </c>
      <c r="P46" s="516">
        <f>'進度表'!T64/100*$A46</f>
        <v>0.108</v>
      </c>
      <c r="Q46" s="516">
        <f>'進度表'!U64/100*$A46</f>
        <v>0.1215</v>
      </c>
      <c r="R46" s="516">
        <f>'進度表'!V64/100*$A46</f>
        <v>0.135</v>
      </c>
      <c r="S46" s="516">
        <f>'進度表'!W64/100*$A46</f>
        <v>0.15</v>
      </c>
      <c r="T46" s="516">
        <f>'進度表'!X64/100*$A46</f>
        <v>0.15</v>
      </c>
      <c r="U46" s="516">
        <f>'進度表'!Y64/100*$A46</f>
        <v>0.15</v>
      </c>
      <c r="V46" s="516">
        <f>'進度表'!Z64/100*$A46</f>
        <v>0.15</v>
      </c>
      <c r="W46" s="516">
        <f>'進度表'!AA64/100*$A46</f>
        <v>0.15</v>
      </c>
    </row>
    <row r="47" spans="1:23" ht="14.25">
      <c r="A47" s="515">
        <f>'進度表'!C65</f>
        <v>0.03</v>
      </c>
      <c r="B47" s="516">
        <f>'進度表'!F65/100*$A47</f>
        <v>0</v>
      </c>
      <c r="C47" s="516">
        <f>'進度表'!G65/100*$A47</f>
        <v>0</v>
      </c>
      <c r="D47" s="516">
        <f>'進度表'!H65/100*$A47</f>
        <v>0</v>
      </c>
      <c r="E47" s="516">
        <f>'進度表'!I65/100*$A47</f>
        <v>0</v>
      </c>
      <c r="F47" s="516">
        <f>'進度表'!J65/100*$A47</f>
        <v>0</v>
      </c>
      <c r="G47" s="516">
        <f>'進度表'!K65/100*$A47</f>
        <v>0</v>
      </c>
      <c r="H47" s="516">
        <f>'進度表'!L65/100*$A47</f>
        <v>0</v>
      </c>
      <c r="I47" s="516">
        <f>'進度表'!M65/100*$A47</f>
        <v>0.0027</v>
      </c>
      <c r="J47" s="516">
        <f>'進度表'!N65/100*$A47</f>
        <v>0.0054</v>
      </c>
      <c r="K47" s="516">
        <f>'進度表'!O65/100*$A47</f>
        <v>0.0081</v>
      </c>
      <c r="L47" s="516">
        <f>'進度表'!P65/100*$A47</f>
        <v>0.0108</v>
      </c>
      <c r="M47" s="516">
        <f>'進度表'!Q65/100*$A47</f>
        <v>0.0135</v>
      </c>
      <c r="N47" s="516">
        <f>'進度表'!R65/100*$A47</f>
        <v>0.0162</v>
      </c>
      <c r="O47" s="516">
        <f>'進度表'!S65/100*$A47</f>
        <v>0.0189</v>
      </c>
      <c r="P47" s="516">
        <f>'進度表'!T65/100*$A47</f>
        <v>0.0216</v>
      </c>
      <c r="Q47" s="516">
        <f>'進度表'!U65/100*$A47</f>
        <v>0.0243</v>
      </c>
      <c r="R47" s="516">
        <f>'進度表'!V65/100*$A47</f>
        <v>0.027</v>
      </c>
      <c r="S47" s="516">
        <f>'進度表'!W65/100*$A47</f>
        <v>0.03</v>
      </c>
      <c r="T47" s="516">
        <f>'進度表'!X65/100*$A47</f>
        <v>0.03</v>
      </c>
      <c r="U47" s="516">
        <f>'進度表'!Y65/100*$A47</f>
        <v>0.03</v>
      </c>
      <c r="V47" s="516">
        <f>'進度表'!Z65/100*$A47</f>
        <v>0.03</v>
      </c>
      <c r="W47" s="516">
        <f>'進度表'!AA65/100*$A47</f>
        <v>0.03</v>
      </c>
    </row>
    <row r="48" spans="1:23" ht="14.25">
      <c r="A48" s="515">
        <f>'進度表'!C66</f>
        <v>0.02</v>
      </c>
      <c r="B48" s="516">
        <f>'進度表'!F66/100*$A48</f>
        <v>0</v>
      </c>
      <c r="C48" s="516">
        <f>'進度表'!G66/100*$A48</f>
        <v>0</v>
      </c>
      <c r="D48" s="516">
        <f>'進度表'!H66/100*$A48</f>
        <v>0</v>
      </c>
      <c r="E48" s="516">
        <f>'進度表'!I66/100*$A48</f>
        <v>0</v>
      </c>
      <c r="F48" s="516">
        <f>'進度表'!J66/100*$A48</f>
        <v>0</v>
      </c>
      <c r="G48" s="516">
        <f>'進度表'!K66/100*$A48</f>
        <v>0</v>
      </c>
      <c r="H48" s="516">
        <f>'進度表'!L66/100*$A48</f>
        <v>0</v>
      </c>
      <c r="I48" s="516">
        <f>'進度表'!M66/100*$A48</f>
        <v>0.0018</v>
      </c>
      <c r="J48" s="516">
        <f>'進度表'!N66/100*$A48</f>
        <v>0.0036</v>
      </c>
      <c r="K48" s="516">
        <f>'進度表'!O66/100*$A48</f>
        <v>0.0054</v>
      </c>
      <c r="L48" s="516">
        <f>'進度表'!P66/100*$A48</f>
        <v>0.0072</v>
      </c>
      <c r="M48" s="516">
        <f>'進度表'!Q66/100*$A48</f>
        <v>0.009</v>
      </c>
      <c r="N48" s="516">
        <f>'進度表'!R66/100*$A48</f>
        <v>0.0108</v>
      </c>
      <c r="O48" s="516">
        <f>'進度表'!S66/100*$A48</f>
        <v>0.0126</v>
      </c>
      <c r="P48" s="516">
        <f>'進度表'!T66/100*$A48</f>
        <v>0.0144</v>
      </c>
      <c r="Q48" s="516">
        <f>'進度表'!U66/100*$A48</f>
        <v>0.0162</v>
      </c>
      <c r="R48" s="516">
        <f>'進度表'!V66/100*$A48</f>
        <v>0.018</v>
      </c>
      <c r="S48" s="516">
        <f>'進度表'!W66/100*$A48</f>
        <v>0.02</v>
      </c>
      <c r="T48" s="516">
        <f>'進度表'!X66/100*$A48</f>
        <v>0.02</v>
      </c>
      <c r="U48" s="516">
        <f>'進度表'!Y66/100*$A48</f>
        <v>0.02</v>
      </c>
      <c r="V48" s="516">
        <f>'進度表'!Z66/100*$A48</f>
        <v>0.02</v>
      </c>
      <c r="W48" s="516">
        <f>'進度表'!AA66/100*$A48</f>
        <v>0.02</v>
      </c>
    </row>
    <row r="49" spans="1:23" ht="14.25">
      <c r="A49" s="515">
        <f>'進度表'!C67</f>
        <v>0.1</v>
      </c>
      <c r="B49" s="516">
        <f>'進度表'!F67/100*$A49</f>
        <v>0</v>
      </c>
      <c r="C49" s="516">
        <f>'進度表'!G67/100*$A49</f>
        <v>0</v>
      </c>
      <c r="D49" s="516">
        <f>'進度表'!H67/100*$A49</f>
        <v>0</v>
      </c>
      <c r="E49" s="516">
        <f>'進度表'!I67/100*$A49</f>
        <v>0</v>
      </c>
      <c r="F49" s="516">
        <f>'進度表'!J67/100*$A49</f>
        <v>0</v>
      </c>
      <c r="G49" s="516">
        <f>'進度表'!K67/100*$A49</f>
        <v>0</v>
      </c>
      <c r="H49" s="516">
        <f>'進度表'!L67/100*$A49</f>
        <v>0</v>
      </c>
      <c r="I49" s="516">
        <f>'進度表'!M67/100*$A49</f>
        <v>0</v>
      </c>
      <c r="J49" s="516">
        <f>'進度表'!N67/100*$A49</f>
        <v>0</v>
      </c>
      <c r="K49" s="516">
        <f>'進度表'!O67/100*$A49</f>
        <v>0</v>
      </c>
      <c r="L49" s="516">
        <f>'進度表'!P67/100*$A49</f>
        <v>0</v>
      </c>
      <c r="M49" s="516">
        <f>'進度表'!Q67/100*$A49</f>
        <v>0</v>
      </c>
      <c r="N49" s="516">
        <f>'進度表'!R67/100*$A49</f>
        <v>0</v>
      </c>
      <c r="O49" s="516">
        <f>'進度表'!S67/100*$A49</f>
        <v>0</v>
      </c>
      <c r="P49" s="516">
        <f>'進度表'!T67/100*$A49</f>
        <v>0</v>
      </c>
      <c r="Q49" s="516">
        <f>'進度表'!U67/100*$A49</f>
        <v>0</v>
      </c>
      <c r="R49" s="516">
        <f>'進度表'!V67/100*$A49</f>
        <v>0.025</v>
      </c>
      <c r="S49" s="516">
        <f>'進度表'!W67/100*$A49</f>
        <v>0.05</v>
      </c>
      <c r="T49" s="516">
        <f>'進度表'!X67/100*$A49</f>
        <v>0.075</v>
      </c>
      <c r="U49" s="516">
        <f>'進度表'!Y67/100*$A49</f>
        <v>0.1</v>
      </c>
      <c r="V49" s="516">
        <f>'進度表'!Z67/100*$A49</f>
        <v>0.1</v>
      </c>
      <c r="W49" s="516">
        <f>'進度表'!AA67/100*$A49</f>
        <v>0.1</v>
      </c>
    </row>
    <row r="50" spans="1:23" ht="14.25">
      <c r="A50" s="515">
        <f>'進度表'!C68</f>
        <v>0.27</v>
      </c>
      <c r="B50" s="516">
        <f>'進度表'!F68/100*$A50</f>
        <v>0</v>
      </c>
      <c r="C50" s="516">
        <f>'進度表'!G68/100*$A50</f>
        <v>0</v>
      </c>
      <c r="D50" s="516">
        <f>'進度表'!H68/100*$A50</f>
        <v>0</v>
      </c>
      <c r="E50" s="516">
        <f>'進度表'!I68/100*$A50</f>
        <v>0</v>
      </c>
      <c r="F50" s="516">
        <f>'進度表'!J68/100*$A50</f>
        <v>0</v>
      </c>
      <c r="G50" s="516">
        <f>'進度表'!K68/100*$A50</f>
        <v>0</v>
      </c>
      <c r="H50" s="516">
        <f>'進度表'!L68/100*$A50</f>
        <v>0</v>
      </c>
      <c r="I50" s="516">
        <f>'進度表'!M68/100*$A50</f>
        <v>0</v>
      </c>
      <c r="J50" s="516">
        <f>'進度表'!N68/100*$A50</f>
        <v>0</v>
      </c>
      <c r="K50" s="516">
        <f>'進度表'!O68/100*$A50</f>
        <v>0</v>
      </c>
      <c r="L50" s="516">
        <f>'進度表'!P68/100*$A50</f>
        <v>0</v>
      </c>
      <c r="M50" s="516">
        <f>'進度表'!Q68/100*$A50</f>
        <v>0</v>
      </c>
      <c r="N50" s="516">
        <f>'進度表'!R68/100*$A50</f>
        <v>0</v>
      </c>
      <c r="O50" s="516">
        <f>'進度表'!S68/100*$A50</f>
        <v>0</v>
      </c>
      <c r="P50" s="516">
        <f>'進度表'!T68/100*$A50</f>
        <v>0</v>
      </c>
      <c r="Q50" s="516">
        <f>'進度表'!U68/100*$A50</f>
        <v>0</v>
      </c>
      <c r="R50" s="516">
        <f>'進度表'!V68/100*$A50</f>
        <v>0.0675</v>
      </c>
      <c r="S50" s="516">
        <f>'進度表'!W68/100*$A50</f>
        <v>0.135</v>
      </c>
      <c r="T50" s="516">
        <f>'進度表'!X68/100*$A50</f>
        <v>0.2025</v>
      </c>
      <c r="U50" s="516">
        <f>'進度表'!Y68/100*$A50</f>
        <v>0.27</v>
      </c>
      <c r="V50" s="516">
        <f>'進度表'!Z68/100*$A50</f>
        <v>0.27</v>
      </c>
      <c r="W50" s="516">
        <f>'進度表'!AA68/100*$A50</f>
        <v>0.27</v>
      </c>
    </row>
    <row r="51" spans="1:23" ht="14.25">
      <c r="A51" s="515">
        <f>'進度表'!C69</f>
        <v>0.2</v>
      </c>
      <c r="B51" s="516">
        <f>'進度表'!F69/100*$A51</f>
        <v>0</v>
      </c>
      <c r="C51" s="516">
        <f>'進度表'!G69/100*$A51</f>
        <v>0</v>
      </c>
      <c r="D51" s="516">
        <f>'進度表'!H69/100*$A51</f>
        <v>0</v>
      </c>
      <c r="E51" s="516">
        <f>'進度表'!I69/100*$A51</f>
        <v>0</v>
      </c>
      <c r="F51" s="516">
        <f>'進度表'!J69/100*$A51</f>
        <v>0</v>
      </c>
      <c r="G51" s="516">
        <f>'進度表'!K69/100*$A51</f>
        <v>0</v>
      </c>
      <c r="H51" s="516">
        <f>'進度表'!L69/100*$A51</f>
        <v>0</v>
      </c>
      <c r="I51" s="516">
        <f>'進度表'!M69/100*$A51</f>
        <v>0</v>
      </c>
      <c r="J51" s="516">
        <f>'進度表'!N69/100*$A51</f>
        <v>0</v>
      </c>
      <c r="K51" s="516">
        <f>'進度表'!O69/100*$A51</f>
        <v>0</v>
      </c>
      <c r="L51" s="516">
        <f>'進度表'!P69/100*$A51</f>
        <v>0</v>
      </c>
      <c r="M51" s="516">
        <f>'進度表'!Q69/100*$A51</f>
        <v>0</v>
      </c>
      <c r="N51" s="516">
        <f>'進度表'!R69/100*$A51</f>
        <v>0</v>
      </c>
      <c r="O51" s="516">
        <f>'進度表'!S69/100*$A51</f>
        <v>0</v>
      </c>
      <c r="P51" s="516">
        <f>'進度表'!T69/100*$A51</f>
        <v>0</v>
      </c>
      <c r="Q51" s="516">
        <f>'進度表'!U69/100*$A51</f>
        <v>0</v>
      </c>
      <c r="R51" s="516">
        <f>'進度表'!V69/100*$A51</f>
        <v>0.05</v>
      </c>
      <c r="S51" s="516">
        <f>'進度表'!W69/100*$A51</f>
        <v>0.1</v>
      </c>
      <c r="T51" s="516">
        <f>'進度表'!X69/100*$A51</f>
        <v>0.15</v>
      </c>
      <c r="U51" s="516">
        <f>'進度表'!Y69/100*$A51</f>
        <v>0.2</v>
      </c>
      <c r="V51" s="516">
        <f>'進度表'!Z69/100*$A51</f>
        <v>0.2</v>
      </c>
      <c r="W51" s="516">
        <f>'進度表'!AA69/100*$A51</f>
        <v>0.2</v>
      </c>
    </row>
    <row r="52" spans="1:23" ht="14.25">
      <c r="A52" s="515">
        <f>'進度表'!C70</f>
        <v>0.03</v>
      </c>
      <c r="B52" s="516">
        <f>'進度表'!F70/100*$A52</f>
        <v>0</v>
      </c>
      <c r="C52" s="516">
        <f>'進度表'!G70/100*$A52</f>
        <v>0</v>
      </c>
      <c r="D52" s="516">
        <f>'進度表'!H70/100*$A52</f>
        <v>0</v>
      </c>
      <c r="E52" s="516">
        <f>'進度表'!I70/100*$A52</f>
        <v>0</v>
      </c>
      <c r="F52" s="516">
        <f>'進度表'!J70/100*$A52</f>
        <v>0</v>
      </c>
      <c r="G52" s="516">
        <f>'進度表'!K70/100*$A52</f>
        <v>0</v>
      </c>
      <c r="H52" s="516">
        <f>'進度表'!L70/100*$A52</f>
        <v>0</v>
      </c>
      <c r="I52" s="516">
        <f>'進度表'!M70/100*$A52</f>
        <v>0.0027</v>
      </c>
      <c r="J52" s="516">
        <f>'進度表'!N70/100*$A52</f>
        <v>0.0054</v>
      </c>
      <c r="K52" s="516">
        <f>'進度表'!O70/100*$A52</f>
        <v>0.0081</v>
      </c>
      <c r="L52" s="516">
        <f>'進度表'!P70/100*$A52</f>
        <v>0.0108</v>
      </c>
      <c r="M52" s="516">
        <f>'進度表'!Q70/100*$A52</f>
        <v>0.0135</v>
      </c>
      <c r="N52" s="516">
        <f>'進度表'!R70/100*$A52</f>
        <v>0.0162</v>
      </c>
      <c r="O52" s="516">
        <f>'進度表'!S70/100*$A52</f>
        <v>0.0189</v>
      </c>
      <c r="P52" s="516">
        <f>'進度表'!T70/100*$A52</f>
        <v>0.0216</v>
      </c>
      <c r="Q52" s="516">
        <f>'進度表'!U70/100*$A52</f>
        <v>0.0243</v>
      </c>
      <c r="R52" s="516">
        <f>'進度表'!V70/100*$A52</f>
        <v>0.027</v>
      </c>
      <c r="S52" s="516">
        <f>'進度表'!W70/100*$A52</f>
        <v>0.03</v>
      </c>
      <c r="T52" s="516">
        <f>'進度表'!X70/100*$A52</f>
        <v>0.03</v>
      </c>
      <c r="U52" s="516">
        <f>'進度表'!Y70/100*$A52</f>
        <v>0.03</v>
      </c>
      <c r="V52" s="516">
        <f>'進度表'!Z70/100*$A52</f>
        <v>0.03</v>
      </c>
      <c r="W52" s="516">
        <f>'進度表'!AA70/100*$A52</f>
        <v>0.03</v>
      </c>
    </row>
    <row r="53" spans="1:23" ht="14.25">
      <c r="A53" s="515">
        <f>'進度表'!C71</f>
        <v>3.06</v>
      </c>
      <c r="B53" s="516">
        <f>'進度表'!F71/100*$A53</f>
        <v>0</v>
      </c>
      <c r="C53" s="516">
        <f>'進度表'!G71/100*$A53</f>
        <v>0</v>
      </c>
      <c r="D53" s="516">
        <f>'進度表'!H71/100*$A53</f>
        <v>0</v>
      </c>
      <c r="E53" s="516">
        <f>'進度表'!I71/100*$A53</f>
        <v>0</v>
      </c>
      <c r="F53" s="516">
        <f>'進度表'!J71/100*$A53</f>
        <v>0</v>
      </c>
      <c r="G53" s="516">
        <f>'進度表'!K71/100*$A53</f>
        <v>0</v>
      </c>
      <c r="H53" s="516">
        <f>'進度表'!L71/100*$A53</f>
        <v>0</v>
      </c>
      <c r="I53" s="516">
        <f>'進度表'!M71/100*$A53</f>
        <v>0.2754</v>
      </c>
      <c r="J53" s="516">
        <f>'進度表'!N71/100*$A53</f>
        <v>0.5508</v>
      </c>
      <c r="K53" s="516">
        <f>'進度表'!O71/100*$A53</f>
        <v>0.8262</v>
      </c>
      <c r="L53" s="516">
        <f>'進度表'!P71/100*$A53</f>
        <v>1.1016</v>
      </c>
      <c r="M53" s="516">
        <f>'進度表'!Q71/100*$A53</f>
        <v>1.377</v>
      </c>
      <c r="N53" s="516">
        <f>'進度表'!R71/100*$A53</f>
        <v>1.6524</v>
      </c>
      <c r="O53" s="516">
        <f>'進度表'!S71/100*$A53</f>
        <v>1.9278</v>
      </c>
      <c r="P53" s="516">
        <f>'進度表'!T71/100*$A53</f>
        <v>2.2032</v>
      </c>
      <c r="Q53" s="516">
        <f>'進度表'!U71/100*$A53</f>
        <v>2.4786</v>
      </c>
      <c r="R53" s="516">
        <f>'進度表'!V71/100*$A53</f>
        <v>2.754</v>
      </c>
      <c r="S53" s="516">
        <f>'進度表'!W71/100*$A53</f>
        <v>3.06</v>
      </c>
      <c r="T53" s="516">
        <f>'進度表'!X71/100*$A53</f>
        <v>3.06</v>
      </c>
      <c r="U53" s="516">
        <f>'進度表'!Y71/100*$A53</f>
        <v>3.06</v>
      </c>
      <c r="V53" s="516">
        <f>'進度表'!Z71/100*$A53</f>
        <v>3.06</v>
      </c>
      <c r="W53" s="516">
        <f>'進度表'!AA71/100*$A53</f>
        <v>3.06</v>
      </c>
    </row>
    <row r="54" spans="1:23" ht="14.25">
      <c r="A54" s="1224">
        <f>'進度表'!C72</f>
        <v>3.13</v>
      </c>
      <c r="B54" s="1225">
        <f>'進度表'!F72/100*$A54</f>
        <v>0</v>
      </c>
      <c r="C54" s="1225">
        <f>'進度表'!G72/100*$A54</f>
        <v>0.1565</v>
      </c>
      <c r="D54" s="1225">
        <f>'進度表'!H72/100*$A54</f>
        <v>0.313</v>
      </c>
      <c r="E54" s="1225">
        <f>'進度表'!I72/100*$A54</f>
        <v>0.4695</v>
      </c>
      <c r="F54" s="1225">
        <f>'進度表'!J72/100*$A54</f>
        <v>0.626</v>
      </c>
      <c r="G54" s="1225">
        <f>'進度表'!K72/100*$A54</f>
        <v>0.7825</v>
      </c>
      <c r="H54" s="1225">
        <f>'進度表'!L72/100*$A54</f>
        <v>0.939</v>
      </c>
      <c r="I54" s="1225">
        <f>'進度表'!M72/100*$A54</f>
        <v>1.0955</v>
      </c>
      <c r="J54" s="1225">
        <f>'進度表'!N72/100*$A54</f>
        <v>1.252</v>
      </c>
      <c r="K54" s="1225">
        <f>'進度表'!O72/100*$A54</f>
        <v>1.4085</v>
      </c>
      <c r="L54" s="1225">
        <f>'進度表'!P72/100*$A54</f>
        <v>1.565</v>
      </c>
      <c r="M54" s="1225">
        <f>'進度表'!Q72/100*$A54</f>
        <v>1.7215</v>
      </c>
      <c r="N54" s="1225">
        <f>'進度表'!R72/100*$A54</f>
        <v>1.878</v>
      </c>
      <c r="O54" s="1225">
        <f>'進度表'!S72/100*$A54</f>
        <v>2.0345</v>
      </c>
      <c r="P54" s="1225">
        <f>'進度表'!T72/100*$A54</f>
        <v>2.191</v>
      </c>
      <c r="Q54" s="1225">
        <f>'進度表'!U72/100*$A54</f>
        <v>2.3475</v>
      </c>
      <c r="R54" s="1225">
        <f>'進度表'!V72/100*$A54</f>
        <v>2.504</v>
      </c>
      <c r="S54" s="1225">
        <f>'進度表'!W72/100*$A54</f>
        <v>2.6605</v>
      </c>
      <c r="T54" s="1225">
        <f>'進度表'!X72/100*$A54</f>
        <v>2.817</v>
      </c>
      <c r="U54" s="1225">
        <f>'進度表'!Y72/100*$A54</f>
        <v>2.9735</v>
      </c>
      <c r="V54" s="1225">
        <f>'進度表'!Z72/100*$A54</f>
        <v>3.13</v>
      </c>
      <c r="W54" s="1225">
        <f>'進度表'!AA72/100*$A54</f>
        <v>3.13</v>
      </c>
    </row>
    <row r="55" spans="1:23" ht="14.25">
      <c r="A55" s="1224">
        <f>'進度表'!C73</f>
        <v>0.4</v>
      </c>
      <c r="B55" s="1225">
        <f>'進度表'!F73/100*$A55</f>
        <v>0</v>
      </c>
      <c r="C55" s="1225">
        <f>'進度表'!G73/100*$A55</f>
        <v>0.02</v>
      </c>
      <c r="D55" s="1225">
        <f>'進度表'!H73/100*$A55</f>
        <v>0.04</v>
      </c>
      <c r="E55" s="1225">
        <f>'進度表'!I73/100*$A55</f>
        <v>0.06</v>
      </c>
      <c r="F55" s="1225">
        <f>'進度表'!J73/100*$A55</f>
        <v>0.08</v>
      </c>
      <c r="G55" s="1225">
        <f>'進度表'!K73/100*$A55</f>
        <v>0.1</v>
      </c>
      <c r="H55" s="1225">
        <f>'進度表'!L73/100*$A55</f>
        <v>0.12</v>
      </c>
      <c r="I55" s="1225">
        <f>'進度表'!M73/100*$A55</f>
        <v>0.14</v>
      </c>
      <c r="J55" s="1225">
        <f>'進度表'!N73/100*$A55</f>
        <v>0.16</v>
      </c>
      <c r="K55" s="1225">
        <f>'進度表'!O73/100*$A55</f>
        <v>0.18</v>
      </c>
      <c r="L55" s="1225">
        <f>'進度表'!P73/100*$A55</f>
        <v>0.2</v>
      </c>
      <c r="M55" s="1225">
        <f>'進度表'!Q73/100*$A55</f>
        <v>0.22</v>
      </c>
      <c r="N55" s="1225">
        <f>'進度表'!R73/100*$A55</f>
        <v>0.24</v>
      </c>
      <c r="O55" s="1225">
        <f>'進度表'!S73/100*$A55</f>
        <v>0.26</v>
      </c>
      <c r="P55" s="1225">
        <f>'進度表'!T73/100*$A55</f>
        <v>0.28</v>
      </c>
      <c r="Q55" s="1225">
        <f>'進度表'!U73/100*$A55</f>
        <v>0.3</v>
      </c>
      <c r="R55" s="1225">
        <f>'進度表'!V73/100*$A55</f>
        <v>0.32</v>
      </c>
      <c r="S55" s="1225">
        <f>'進度表'!W73/100*$A55</f>
        <v>0.34</v>
      </c>
      <c r="T55" s="1225">
        <f>'進度表'!X73/100*$A55</f>
        <v>0.36</v>
      </c>
      <c r="U55" s="1225">
        <f>'進度表'!Y73/100*$A55</f>
        <v>0.38</v>
      </c>
      <c r="V55" s="1225">
        <f>'進度表'!Z73/100*$A55</f>
        <v>0.4</v>
      </c>
      <c r="W55" s="1225">
        <f>'進度表'!AA73/100*$A55</f>
        <v>0.4</v>
      </c>
    </row>
    <row r="56" spans="1:23" ht="14.25">
      <c r="A56" s="1224">
        <f>'進度表'!C74</f>
        <v>1.02</v>
      </c>
      <c r="B56" s="1225">
        <f>'進度表'!F74/100*$A56</f>
        <v>0</v>
      </c>
      <c r="C56" s="1225">
        <f>'進度表'!G74/100*$A56</f>
        <v>0.051</v>
      </c>
      <c r="D56" s="1225">
        <f>'進度表'!H74/100*$A56</f>
        <v>0.102</v>
      </c>
      <c r="E56" s="1225">
        <f>'進度表'!I74/100*$A56</f>
        <v>0.153</v>
      </c>
      <c r="F56" s="1225">
        <f>'進度表'!J74/100*$A56</f>
        <v>0.204</v>
      </c>
      <c r="G56" s="1225">
        <f>'進度表'!K74/100*$A56</f>
        <v>0.255</v>
      </c>
      <c r="H56" s="1225">
        <f>'進度表'!L74/100*$A56</f>
        <v>0.306</v>
      </c>
      <c r="I56" s="1225">
        <f>'進度表'!M74/100*$A56</f>
        <v>0.357</v>
      </c>
      <c r="J56" s="1225">
        <f>'進度表'!N74/100*$A56</f>
        <v>0.408</v>
      </c>
      <c r="K56" s="1225">
        <f>'進度表'!O74/100*$A56</f>
        <v>0.459</v>
      </c>
      <c r="L56" s="1225">
        <f>'進度表'!P74/100*$A56</f>
        <v>0.51</v>
      </c>
      <c r="M56" s="1225">
        <f>'進度表'!Q74/100*$A56</f>
        <v>0.561</v>
      </c>
      <c r="N56" s="1225">
        <f>'進度表'!R74/100*$A56</f>
        <v>0.612</v>
      </c>
      <c r="O56" s="1225">
        <f>'進度表'!S74/100*$A56</f>
        <v>0.663</v>
      </c>
      <c r="P56" s="1225">
        <f>'進度表'!T74/100*$A56</f>
        <v>0.714</v>
      </c>
      <c r="Q56" s="1225">
        <f>'進度表'!U74/100*$A56</f>
        <v>0.765</v>
      </c>
      <c r="R56" s="1225">
        <f>'進度表'!V74/100*$A56</f>
        <v>0.816</v>
      </c>
      <c r="S56" s="1225">
        <f>'進度表'!W74/100*$A56</f>
        <v>0.867</v>
      </c>
      <c r="T56" s="1225">
        <f>'進度表'!X74/100*$A56</f>
        <v>0.918</v>
      </c>
      <c r="U56" s="1225">
        <f>'進度表'!Y74/100*$A56</f>
        <v>0.969</v>
      </c>
      <c r="V56" s="1225">
        <f>'進度表'!Z74/100*$A56</f>
        <v>1.02</v>
      </c>
      <c r="W56" s="1225">
        <f>'進度表'!AA74/100*$A56</f>
        <v>1.02</v>
      </c>
    </row>
    <row r="57" spans="1:23" ht="14.25">
      <c r="A57" s="1224">
        <f>'進度表'!C75</f>
        <v>1.23</v>
      </c>
      <c r="B57" s="1225">
        <f>'進度表'!F75/100*$A57</f>
        <v>0</v>
      </c>
      <c r="C57" s="1225">
        <f>'進度表'!G75/100*$A57</f>
        <v>0.0615</v>
      </c>
      <c r="D57" s="1225">
        <f>'進度表'!H75/100*$A57</f>
        <v>0.123</v>
      </c>
      <c r="E57" s="1225">
        <f>'進度表'!I75/100*$A57</f>
        <v>0.1845</v>
      </c>
      <c r="F57" s="1225">
        <f>'進度表'!J75/100*$A57</f>
        <v>0.246</v>
      </c>
      <c r="G57" s="1225">
        <f>'進度表'!K75/100*$A57</f>
        <v>0.3075</v>
      </c>
      <c r="H57" s="1225">
        <f>'進度表'!L75/100*$A57</f>
        <v>0.369</v>
      </c>
      <c r="I57" s="1225">
        <f>'進度表'!M75/100*$A57</f>
        <v>0.4305</v>
      </c>
      <c r="J57" s="1225">
        <f>'進度表'!N75/100*$A57</f>
        <v>0.492</v>
      </c>
      <c r="K57" s="1225">
        <f>'進度表'!O75/100*$A57</f>
        <v>0.5535</v>
      </c>
      <c r="L57" s="1225">
        <f>'進度表'!P75/100*$A57</f>
        <v>0.615</v>
      </c>
      <c r="M57" s="1225">
        <f>'進度表'!Q75/100*$A57</f>
        <v>0.6765</v>
      </c>
      <c r="N57" s="1225">
        <f>'進度表'!R75/100*$A57</f>
        <v>0.738</v>
      </c>
      <c r="O57" s="1225">
        <f>'進度表'!S75/100*$A57</f>
        <v>0.7995</v>
      </c>
      <c r="P57" s="1225">
        <f>'進度表'!T75/100*$A57</f>
        <v>0.861</v>
      </c>
      <c r="Q57" s="1225">
        <f>'進度表'!U75/100*$A57</f>
        <v>0.9225</v>
      </c>
      <c r="R57" s="1225">
        <f>'進度表'!V75/100*$A57</f>
        <v>0.984</v>
      </c>
      <c r="S57" s="1225">
        <f>'進度表'!W75/100*$A57</f>
        <v>1.0455</v>
      </c>
      <c r="T57" s="1225">
        <f>'進度表'!X75/100*$A57</f>
        <v>1.107</v>
      </c>
      <c r="U57" s="1225">
        <f>'進度表'!Y75/100*$A57</f>
        <v>1.1685</v>
      </c>
      <c r="V57" s="1225">
        <f>'進度表'!Z75/100*$A57</f>
        <v>1.23</v>
      </c>
      <c r="W57" s="1225">
        <f>'進度表'!AA75/100*$A57</f>
        <v>1.23</v>
      </c>
    </row>
    <row r="58" spans="1:23" ht="14.25">
      <c r="A58" s="1224">
        <f>'進度表'!C76</f>
        <v>8.22</v>
      </c>
      <c r="B58" s="1225">
        <f>'進度表'!F76/100*$A58</f>
        <v>0</v>
      </c>
      <c r="C58" s="1225">
        <f>'進度表'!G76/100*$A58</f>
        <v>0.411</v>
      </c>
      <c r="D58" s="1225">
        <f>'進度表'!H76/100*$A58</f>
        <v>0.822</v>
      </c>
      <c r="E58" s="1225">
        <f>'進度表'!I76/100*$A58</f>
        <v>1.233</v>
      </c>
      <c r="F58" s="1225">
        <f>'進度表'!J76/100*$A58</f>
        <v>1.644</v>
      </c>
      <c r="G58" s="1225">
        <f>'進度表'!K76/100*$A58</f>
        <v>2.055</v>
      </c>
      <c r="H58" s="1225">
        <f>'進度表'!L76/100*$A58</f>
        <v>2.466</v>
      </c>
      <c r="I58" s="1225">
        <f>'進度表'!M76/100*$A58</f>
        <v>2.877</v>
      </c>
      <c r="J58" s="1225">
        <f>'進度表'!N76/100*$A58</f>
        <v>3.288</v>
      </c>
      <c r="K58" s="1225">
        <f>'進度表'!O76/100*$A58</f>
        <v>3.699</v>
      </c>
      <c r="L58" s="1225">
        <f>'進度表'!P76/100*$A58</f>
        <v>4.11</v>
      </c>
      <c r="M58" s="1225">
        <f>'進度表'!Q76/100*$A58</f>
        <v>4.521</v>
      </c>
      <c r="N58" s="1225">
        <f>'進度表'!R76/100*$A58</f>
        <v>4.932</v>
      </c>
      <c r="O58" s="1225">
        <f>'進度表'!S76/100*$A58</f>
        <v>5.343</v>
      </c>
      <c r="P58" s="1225">
        <f>'進度表'!T76/100*$A58</f>
        <v>5.754</v>
      </c>
      <c r="Q58" s="1225">
        <f>'進度表'!U76/100*$A58</f>
        <v>6.165</v>
      </c>
      <c r="R58" s="1225">
        <f>'進度表'!V76/100*$A58</f>
        <v>6.576</v>
      </c>
      <c r="S58" s="1225">
        <f>'進度表'!W76/100*$A58</f>
        <v>6.987</v>
      </c>
      <c r="T58" s="1225">
        <f>'進度表'!X76/100*$A58</f>
        <v>7.398</v>
      </c>
      <c r="U58" s="1225">
        <f>'進度表'!Y76/100*$A58</f>
        <v>7.809</v>
      </c>
      <c r="V58" s="1225">
        <f>'進度表'!Z76/100*$A58</f>
        <v>8.22</v>
      </c>
      <c r="W58" s="1225">
        <f>'進度表'!AA76/100*$A58</f>
        <v>8.22</v>
      </c>
    </row>
    <row r="59" spans="2:23" ht="14.25">
      <c r="B59" s="200">
        <f>SUM(B3:B58)</f>
        <v>0</v>
      </c>
      <c r="C59" s="200">
        <f aca="true" t="shared" si="0" ref="C59:U59">SUM(C3:C58)</f>
        <v>0.71</v>
      </c>
      <c r="D59" s="200">
        <f t="shared" si="0"/>
        <v>1.5508</v>
      </c>
      <c r="E59" s="200">
        <f t="shared" si="0"/>
        <v>2.3816</v>
      </c>
      <c r="F59" s="200">
        <f t="shared" si="0"/>
        <v>7.8261</v>
      </c>
      <c r="G59" s="200">
        <f t="shared" si="0"/>
        <v>13.2706</v>
      </c>
      <c r="H59" s="200">
        <f t="shared" si="0"/>
        <v>18.1862</v>
      </c>
      <c r="I59" s="200">
        <f t="shared" si="0"/>
        <v>25.0834</v>
      </c>
      <c r="J59" s="200">
        <f t="shared" si="0"/>
        <v>31.9906</v>
      </c>
      <c r="K59" s="200">
        <f t="shared" si="0"/>
        <v>38.3999</v>
      </c>
      <c r="L59" s="200">
        <f t="shared" si="0"/>
        <v>45.3963</v>
      </c>
      <c r="M59" s="200">
        <f t="shared" si="0"/>
        <v>52.4245</v>
      </c>
      <c r="N59" s="200">
        <f t="shared" si="0"/>
        <v>58.792</v>
      </c>
      <c r="O59" s="200">
        <f t="shared" si="0"/>
        <v>65.8602</v>
      </c>
      <c r="P59" s="200">
        <f t="shared" si="0"/>
        <v>74.1234</v>
      </c>
      <c r="Q59" s="200">
        <f t="shared" si="0"/>
        <v>82.1191</v>
      </c>
      <c r="R59" s="200">
        <f t="shared" si="0"/>
        <v>90.1634</v>
      </c>
      <c r="S59" s="200">
        <f t="shared" si="0"/>
        <v>95.8382</v>
      </c>
      <c r="T59" s="200">
        <f t="shared" si="0"/>
        <v>98.4775</v>
      </c>
      <c r="U59" s="200">
        <f t="shared" si="0"/>
        <v>99.32</v>
      </c>
      <c r="V59" s="1451">
        <f>SUM(V3:V58)</f>
        <v>100</v>
      </c>
      <c r="W59" s="1451">
        <f>SUM(W3:W58)</f>
        <v>100</v>
      </c>
    </row>
    <row r="60" spans="12:20" ht="14.25">
      <c r="L60" s="200"/>
      <c r="M60" s="200"/>
      <c r="N60" s="200"/>
      <c r="O60" s="200"/>
      <c r="P60" s="200"/>
      <c r="Q60" s="200"/>
      <c r="R60" s="200"/>
      <c r="S60" s="200"/>
      <c r="T60" s="200"/>
    </row>
  </sheetData>
  <mergeCells count="12">
    <mergeCell ref="J1:K1"/>
    <mergeCell ref="L1:M1"/>
    <mergeCell ref="H1:I1"/>
    <mergeCell ref="A1:A2"/>
    <mergeCell ref="B1:C1"/>
    <mergeCell ref="D1:E1"/>
    <mergeCell ref="F1:G1"/>
    <mergeCell ref="R1:S1"/>
    <mergeCell ref="T1:U1"/>
    <mergeCell ref="V1:W1"/>
    <mergeCell ref="N1:O1"/>
    <mergeCell ref="P1:Q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B1:H27"/>
  <sheetViews>
    <sheetView workbookViewId="0" topLeftCell="A1">
      <selection activeCell="B1" sqref="B1"/>
    </sheetView>
  </sheetViews>
  <sheetFormatPr defaultColWidth="9.00390625" defaultRowHeight="16.5"/>
  <sheetData>
    <row r="1" ht="16.5">
      <c r="B1" t="s">
        <v>415</v>
      </c>
    </row>
    <row r="2" ht="16.5">
      <c r="B2" t="s">
        <v>416</v>
      </c>
    </row>
    <row r="6" ht="16.5">
      <c r="B6" t="s">
        <v>417</v>
      </c>
    </row>
    <row r="8" spans="2:8" ht="16.5">
      <c r="B8" t="s">
        <v>418</v>
      </c>
      <c r="C8" t="s">
        <v>419</v>
      </c>
      <c r="D8" t="s">
        <v>419</v>
      </c>
      <c r="E8" t="s">
        <v>420</v>
      </c>
      <c r="F8" t="s">
        <v>421</v>
      </c>
      <c r="G8" t="s">
        <v>422</v>
      </c>
      <c r="H8" t="s">
        <v>423</v>
      </c>
    </row>
    <row r="9" spans="3:7" ht="16.5">
      <c r="C9" t="s">
        <v>424</v>
      </c>
      <c r="D9" t="s">
        <v>425</v>
      </c>
      <c r="E9" t="s">
        <v>426</v>
      </c>
      <c r="F9" t="s">
        <v>427</v>
      </c>
      <c r="G9" t="s">
        <v>428</v>
      </c>
    </row>
    <row r="10" ht="16.5">
      <c r="B10">
        <v>1</v>
      </c>
    </row>
    <row r="24" ht="16.5">
      <c r="B24" t="s">
        <v>429</v>
      </c>
    </row>
    <row r="26" spans="2:6" ht="16.5">
      <c r="B26" t="s">
        <v>430</v>
      </c>
      <c r="C26" t="s">
        <v>431</v>
      </c>
      <c r="D26" t="s">
        <v>432</v>
      </c>
      <c r="E26" t="s">
        <v>433</v>
      </c>
      <c r="F26" t="s">
        <v>423</v>
      </c>
    </row>
    <row r="27" ht="16.5">
      <c r="D27" t="s">
        <v>434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showGridLines="0" zoomScale="75" zoomScaleNormal="75" workbookViewId="0" topLeftCell="A4">
      <selection activeCell="H21" sqref="H21"/>
    </sheetView>
  </sheetViews>
  <sheetFormatPr defaultColWidth="9.00390625" defaultRowHeight="16.5"/>
  <cols>
    <col min="1" max="1" width="12.875" style="173" customWidth="1"/>
    <col min="2" max="2" width="11.25390625" style="139" customWidth="1"/>
    <col min="3" max="3" width="6.125" style="139" customWidth="1"/>
    <col min="4" max="4" width="6.25390625" style="142" customWidth="1"/>
    <col min="5" max="5" width="10.875" style="142" customWidth="1"/>
    <col min="6" max="6" width="15.625" style="142" customWidth="1"/>
    <col min="7" max="7" width="2.375" style="142" customWidth="1"/>
    <col min="8" max="8" width="14.375" style="142" customWidth="1"/>
    <col min="9" max="9" width="15.125" style="142" customWidth="1"/>
    <col min="10" max="10" width="13.125" style="142" customWidth="1"/>
    <col min="11" max="16384" width="9.00390625" style="142" customWidth="1"/>
  </cols>
  <sheetData>
    <row r="1" spans="1:11" ht="37.5" customHeight="1" thickTop="1">
      <c r="A1" s="137" t="s">
        <v>404</v>
      </c>
      <c r="B1" s="138"/>
      <c r="C1" s="140" t="s">
        <v>849</v>
      </c>
      <c r="E1" s="141"/>
      <c r="F1" s="140" t="s">
        <v>946</v>
      </c>
      <c r="G1" s="141"/>
      <c r="H1" s="143"/>
      <c r="K1" s="195" t="s">
        <v>584</v>
      </c>
    </row>
    <row r="2" spans="1:11" ht="16.5">
      <c r="A2" s="166" t="s">
        <v>405</v>
      </c>
      <c r="B2" s="92"/>
      <c r="C2" s="93" t="s">
        <v>414</v>
      </c>
      <c r="D2" s="144">
        <v>1</v>
      </c>
      <c r="E2" s="145" t="s">
        <v>437</v>
      </c>
      <c r="F2" s="144">
        <f>'第一號明細表'!F73</f>
        <v>133090784</v>
      </c>
      <c r="H2" s="146" t="s">
        <v>459</v>
      </c>
      <c r="K2" s="155"/>
    </row>
    <row r="3" spans="1:11" ht="16.5">
      <c r="A3" s="166" t="s">
        <v>131</v>
      </c>
      <c r="B3" s="92"/>
      <c r="C3" s="93" t="s">
        <v>414</v>
      </c>
      <c r="D3" s="144">
        <v>1</v>
      </c>
      <c r="E3" s="145" t="s">
        <v>437</v>
      </c>
      <c r="F3" s="144">
        <f>'第二號明細表'!F40</f>
        <v>4909557</v>
      </c>
      <c r="H3" s="1383"/>
      <c r="K3" s="155"/>
    </row>
    <row r="4" spans="1:8" ht="16.5">
      <c r="A4" s="166" t="s">
        <v>448</v>
      </c>
      <c r="B4" s="92"/>
      <c r="C4" s="93" t="s">
        <v>414</v>
      </c>
      <c r="D4" s="144">
        <v>1</v>
      </c>
      <c r="E4" s="145" t="s">
        <v>437</v>
      </c>
      <c r="F4" s="144">
        <f>'第三號明細表'!F19</f>
        <v>5018740</v>
      </c>
      <c r="H4" s="147">
        <f>SUM(F2:F6)</f>
        <v>145285081</v>
      </c>
    </row>
    <row r="5" spans="1:8" ht="16.5">
      <c r="A5" s="166" t="s">
        <v>450</v>
      </c>
      <c r="B5" s="92"/>
      <c r="C5" s="93" t="s">
        <v>414</v>
      </c>
      <c r="D5" s="144">
        <v>1</v>
      </c>
      <c r="E5" s="145" t="s">
        <v>437</v>
      </c>
      <c r="F5" s="148">
        <f>'第四號明細表'!F18</f>
        <v>636000</v>
      </c>
      <c r="H5" s="149"/>
    </row>
    <row r="6" spans="1:8" ht="16.5">
      <c r="A6" s="167" t="s">
        <v>406</v>
      </c>
      <c r="B6" s="92"/>
      <c r="C6" s="93" t="s">
        <v>414</v>
      </c>
      <c r="D6" s="144">
        <v>1</v>
      </c>
      <c r="E6" s="145" t="s">
        <v>437</v>
      </c>
      <c r="F6" s="148">
        <f>'第五號明細表'!F14</f>
        <v>1630000</v>
      </c>
      <c r="H6" s="149"/>
    </row>
    <row r="7" spans="1:8" ht="16.5">
      <c r="A7" s="167" t="s">
        <v>569</v>
      </c>
      <c r="B7" s="92"/>
      <c r="C7" s="93" t="s">
        <v>414</v>
      </c>
      <c r="D7" s="144">
        <v>1</v>
      </c>
      <c r="E7" s="145" t="s">
        <v>437</v>
      </c>
      <c r="F7" s="148">
        <f>'第六號明細表'!F43</f>
        <v>1968600</v>
      </c>
      <c r="H7" s="150">
        <v>0.0164</v>
      </c>
    </row>
    <row r="8" spans="1:9" ht="20.25" customHeight="1">
      <c r="A8" s="166" t="s">
        <v>451</v>
      </c>
      <c r="B8" s="92"/>
      <c r="C8" s="93" t="s">
        <v>414</v>
      </c>
      <c r="D8" s="144">
        <v>1</v>
      </c>
      <c r="E8" s="145" t="s">
        <v>437</v>
      </c>
      <c r="F8" s="148">
        <f>+J9-SUM(F2:F7)</f>
        <v>13181319</v>
      </c>
      <c r="H8" s="149">
        <f>SUM(F2:F8)</f>
        <v>160435000</v>
      </c>
      <c r="I8" s="151">
        <f>(SUM(F2:F7)+F16)*0.0885+150000</f>
        <v>13181950.8</v>
      </c>
    </row>
    <row r="9" spans="1:10" ht="20.25" customHeight="1">
      <c r="A9" s="165" t="s">
        <v>407</v>
      </c>
      <c r="B9" s="92"/>
      <c r="C9" s="93"/>
      <c r="D9" s="144"/>
      <c r="E9" s="145"/>
      <c r="F9" s="148">
        <f>SUM(F2:F8)</f>
        <v>160435000</v>
      </c>
      <c r="H9" s="149">
        <f>ROUND(SUM(F2:F8),-3)</f>
        <v>160435000</v>
      </c>
      <c r="I9" s="144">
        <f>+SUM(F2:F7)+I8</f>
        <v>160435631.8</v>
      </c>
      <c r="J9" s="237">
        <f>+INT(I9/1000)*1000</f>
        <v>160435000</v>
      </c>
    </row>
    <row r="10" spans="1:10" ht="16.5">
      <c r="A10" s="166" t="s">
        <v>452</v>
      </c>
      <c r="B10" s="92"/>
      <c r="C10" s="93" t="s">
        <v>414</v>
      </c>
      <c r="D10" s="144">
        <v>1</v>
      </c>
      <c r="E10" s="145" t="s">
        <v>437</v>
      </c>
      <c r="F10" s="144">
        <f>+INT(J10/1000)*1000</f>
        <v>8021000</v>
      </c>
      <c r="H10" s="152">
        <f>H8-H9</f>
        <v>0</v>
      </c>
      <c r="I10" s="153" t="s">
        <v>401</v>
      </c>
      <c r="J10" s="237">
        <f>F9*0.05</f>
        <v>8021750</v>
      </c>
    </row>
    <row r="11" spans="1:9" ht="16.5">
      <c r="A11" s="166" t="s">
        <v>453</v>
      </c>
      <c r="B11" s="93"/>
      <c r="C11" s="93" t="s">
        <v>414</v>
      </c>
      <c r="D11" s="144">
        <v>1</v>
      </c>
      <c r="E11" s="145" t="s">
        <v>437</v>
      </c>
      <c r="F11" s="144">
        <f>ROUND((H4+H17)*(1.05)/100,-3)</f>
        <v>1525000</v>
      </c>
      <c r="H11" s="150"/>
      <c r="I11" s="155">
        <f>(H4+H17)*0.005+82000</f>
        <v>808425.41</v>
      </c>
    </row>
    <row r="12" spans="1:8" ht="16.5">
      <c r="A12" s="166"/>
      <c r="B12" s="92"/>
      <c r="C12" s="92"/>
      <c r="D12" s="144"/>
      <c r="E12" s="144"/>
      <c r="F12" s="144"/>
      <c r="H12" s="150"/>
    </row>
    <row r="13" spans="1:9" ht="16.5">
      <c r="A13" s="166" t="s">
        <v>454</v>
      </c>
      <c r="B13" s="92"/>
      <c r="C13" s="92"/>
      <c r="D13" s="144"/>
      <c r="E13" s="144"/>
      <c r="F13" s="154">
        <f>F9+F10+F11</f>
        <v>169981000</v>
      </c>
      <c r="H13" s="150"/>
      <c r="I13" s="153" t="s">
        <v>402</v>
      </c>
    </row>
    <row r="14" spans="1:9" ht="17.25" thickBot="1">
      <c r="A14" s="168"/>
      <c r="F14" s="155"/>
      <c r="H14" s="150"/>
      <c r="I14" s="155">
        <f>((H4+H17)-30000000)*0.019+380000</f>
        <v>2570416.54</v>
      </c>
    </row>
    <row r="15" spans="1:8" ht="21.75" thickTop="1">
      <c r="A15" s="169" t="s">
        <v>465</v>
      </c>
      <c r="B15" s="174"/>
      <c r="C15" s="174"/>
      <c r="D15" s="156"/>
      <c r="E15" s="156"/>
      <c r="F15" s="156"/>
      <c r="G15" s="156"/>
      <c r="H15" s="157"/>
    </row>
    <row r="16" spans="1:8" ht="16.5">
      <c r="A16" s="168"/>
      <c r="B16" s="1499" t="s">
        <v>411</v>
      </c>
      <c r="C16" s="1499"/>
      <c r="D16" s="20" t="s">
        <v>403</v>
      </c>
      <c r="E16" s="144"/>
      <c r="F16" s="148">
        <v>0</v>
      </c>
      <c r="H16" s="146" t="s">
        <v>460</v>
      </c>
    </row>
    <row r="17" spans="1:8" ht="16.5">
      <c r="A17" s="166"/>
      <c r="B17" s="1499" t="s">
        <v>461</v>
      </c>
      <c r="C17" s="1499"/>
      <c r="D17" s="144"/>
      <c r="E17" s="144"/>
      <c r="F17" s="144">
        <v>0</v>
      </c>
      <c r="H17" s="147">
        <f>F16</f>
        <v>0</v>
      </c>
    </row>
    <row r="18" spans="1:8" ht="16.5">
      <c r="A18" s="1500" t="s">
        <v>408</v>
      </c>
      <c r="B18" s="1501"/>
      <c r="C18" s="1501"/>
      <c r="D18" s="144"/>
      <c r="E18" s="144"/>
      <c r="F18" s="148">
        <v>0</v>
      </c>
      <c r="H18" s="149"/>
    </row>
    <row r="19" spans="1:9" ht="17.25" thickBot="1">
      <c r="A19" s="204" t="s">
        <v>598</v>
      </c>
      <c r="B19" s="92"/>
      <c r="C19" s="92"/>
      <c r="D19" s="144"/>
      <c r="E19" s="144"/>
      <c r="F19" s="154">
        <v>0</v>
      </c>
      <c r="H19" s="149"/>
      <c r="I19" s="237">
        <f>(F9-10000000)*0.87/100+10000000/100</f>
        <v>1408784.5</v>
      </c>
    </row>
    <row r="20" spans="1:8" ht="22.5" thickBot="1" thickTop="1">
      <c r="A20" s="170" t="s">
        <v>409</v>
      </c>
      <c r="B20" s="174"/>
      <c r="C20" s="177" t="s">
        <v>414</v>
      </c>
      <c r="D20" s="158">
        <v>1</v>
      </c>
      <c r="E20" s="159" t="s">
        <v>437</v>
      </c>
      <c r="F20" s="160">
        <f>ROUND(H20,-3)</f>
        <v>486000</v>
      </c>
      <c r="G20" s="156"/>
      <c r="H20" s="161">
        <f>(F13-F10)*0.003</f>
        <v>485880</v>
      </c>
    </row>
    <row r="21" spans="1:8" ht="21.75" thickTop="1">
      <c r="A21" s="169" t="s">
        <v>410</v>
      </c>
      <c r="B21" s="175"/>
      <c r="C21" s="177" t="s">
        <v>414</v>
      </c>
      <c r="D21" s="158">
        <v>1</v>
      </c>
      <c r="E21" s="158"/>
      <c r="F21" s="154">
        <f>ROUND(1083000+((F9)-25000000)*0.034,-2)</f>
        <v>5687800</v>
      </c>
      <c r="G21" s="156"/>
      <c r="H21" s="157"/>
    </row>
    <row r="22" spans="1:8" ht="17.25" thickBot="1">
      <c r="A22" s="1486" t="s">
        <v>540</v>
      </c>
      <c r="B22" s="1487"/>
      <c r="H22" s="150"/>
    </row>
    <row r="23" spans="1:8" ht="21" thickTop="1">
      <c r="A23" s="171" t="s">
        <v>466</v>
      </c>
      <c r="B23" s="174"/>
      <c r="C23" s="174"/>
      <c r="D23" s="156"/>
      <c r="E23" s="156"/>
      <c r="F23" s="162">
        <f>F13+F18+F19+F20+F21</f>
        <v>176154800</v>
      </c>
      <c r="G23" s="156"/>
      <c r="H23" s="157"/>
    </row>
    <row r="24" spans="1:8" ht="17.25" thickBot="1">
      <c r="A24" s="172"/>
      <c r="B24" s="176"/>
      <c r="C24" s="176"/>
      <c r="D24" s="163"/>
      <c r="E24" s="163"/>
      <c r="F24" s="163"/>
      <c r="G24" s="163"/>
      <c r="H24" s="164"/>
    </row>
    <row r="25" ht="17.25" thickTop="1"/>
  </sheetData>
  <mergeCells count="4">
    <mergeCell ref="B16:C16"/>
    <mergeCell ref="B17:C17"/>
    <mergeCell ref="A18:C18"/>
    <mergeCell ref="A22:B22"/>
  </mergeCells>
  <printOptions/>
  <pageMargins left="0.35433070866141736" right="0.7480314960629921" top="0.7874015748031497" bottom="0.5905511811023623" header="0.11811023622047245" footer="0.11811023622047245"/>
  <pageSetup horizontalDpi="1200" verticalDpi="12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28"/>
  <sheetViews>
    <sheetView showGridLines="0" view="pageBreakPreview" zoomScaleSheetLayoutView="100" workbookViewId="0" topLeftCell="A10">
      <selection activeCell="F22" sqref="F22"/>
    </sheetView>
  </sheetViews>
  <sheetFormatPr defaultColWidth="9.00390625" defaultRowHeight="24.75" customHeight="1"/>
  <cols>
    <col min="1" max="1" width="22.75390625" style="185" customWidth="1"/>
    <col min="2" max="2" width="13.75390625" style="185" customWidth="1"/>
    <col min="3" max="3" width="5.75390625" style="185" customWidth="1"/>
    <col min="4" max="4" width="7.75390625" style="185" customWidth="1"/>
    <col min="5" max="5" width="9.75390625" style="185" customWidth="1"/>
    <col min="6" max="6" width="12.75390625" style="185" customWidth="1"/>
    <col min="7" max="7" width="11.75390625" style="185" customWidth="1"/>
    <col min="8" max="16384" width="9.00390625" style="185" customWidth="1"/>
  </cols>
  <sheetData>
    <row r="1" spans="1:7" ht="24.75" customHeight="1">
      <c r="A1" s="1" t="str">
        <f>data!K1</f>
        <v>經濟部水利署第十河川局</v>
      </c>
      <c r="B1" s="184"/>
      <c r="C1" s="184"/>
      <c r="D1" s="184"/>
      <c r="E1" s="184"/>
      <c r="F1" s="184"/>
      <c r="G1" s="184"/>
    </row>
    <row r="2" spans="1:7" ht="24.75" customHeight="1">
      <c r="A2" s="2" t="s">
        <v>544</v>
      </c>
      <c r="B2" s="184"/>
      <c r="C2" s="184"/>
      <c r="D2" s="184"/>
      <c r="E2" s="184"/>
      <c r="F2" s="184"/>
      <c r="G2" s="184"/>
    </row>
    <row r="3" spans="1:7" s="4" customFormat="1" ht="31.5" customHeight="1">
      <c r="A3" s="1483" t="str">
        <f>data!F1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s="4" customFormat="1" ht="24.75" customHeight="1" thickBot="1">
      <c r="A4" s="1485" t="str">
        <f>data!C1</f>
        <v>施工地點：台北縣瑞芳鎮</v>
      </c>
      <c r="B4" s="1485"/>
      <c r="C4" s="1485"/>
      <c r="D4" s="31"/>
      <c r="E4" s="31"/>
      <c r="F4" s="31"/>
      <c r="G4" s="251" t="s">
        <v>198</v>
      </c>
    </row>
    <row r="5" spans="1:7" ht="24.75" customHeight="1">
      <c r="A5" s="5" t="s">
        <v>442</v>
      </c>
      <c r="B5" s="6" t="s">
        <v>443</v>
      </c>
      <c r="C5" s="135" t="s">
        <v>439</v>
      </c>
      <c r="D5" s="6" t="s">
        <v>440</v>
      </c>
      <c r="E5" s="6" t="s">
        <v>444</v>
      </c>
      <c r="F5" s="6" t="s">
        <v>445</v>
      </c>
      <c r="G5" s="7" t="s">
        <v>446</v>
      </c>
    </row>
    <row r="6" spans="1:7" ht="24.75" customHeight="1">
      <c r="A6" s="1477" t="s">
        <v>560</v>
      </c>
      <c r="B6" s="1478"/>
      <c r="C6" s="1478"/>
      <c r="D6" s="1478"/>
      <c r="E6" s="1478"/>
      <c r="F6" s="1478"/>
      <c r="G6" s="1479"/>
    </row>
    <row r="7" spans="1:7" ht="24.75" customHeight="1">
      <c r="A7" s="181" t="s">
        <v>383</v>
      </c>
      <c r="B7" s="213" t="s">
        <v>821</v>
      </c>
      <c r="C7" s="9" t="s">
        <v>414</v>
      </c>
      <c r="D7" s="186">
        <v>1</v>
      </c>
      <c r="E7" s="23" t="s">
        <v>437</v>
      </c>
      <c r="F7" s="205">
        <f>data!F2</f>
        <v>133090784</v>
      </c>
      <c r="G7" s="86" t="s">
        <v>447</v>
      </c>
    </row>
    <row r="8" spans="1:7" ht="24.75" customHeight="1">
      <c r="A8" s="181" t="str">
        <f>data!A3</f>
        <v>橋樑工程</v>
      </c>
      <c r="B8" s="213"/>
      <c r="C8" s="9" t="s">
        <v>414</v>
      </c>
      <c r="D8" s="186">
        <v>2</v>
      </c>
      <c r="E8" s="23" t="s">
        <v>437</v>
      </c>
      <c r="F8" s="205">
        <f>data!F3</f>
        <v>4909557</v>
      </c>
      <c r="G8" s="86" t="s">
        <v>449</v>
      </c>
    </row>
    <row r="9" spans="1:7" ht="24.75" customHeight="1">
      <c r="A9" s="181" t="s">
        <v>552</v>
      </c>
      <c r="B9" s="21"/>
      <c r="C9" s="9" t="s">
        <v>414</v>
      </c>
      <c r="D9" s="186">
        <v>1</v>
      </c>
      <c r="E9" s="23" t="s">
        <v>437</v>
      </c>
      <c r="F9" s="205">
        <f>data!F4</f>
        <v>5018740</v>
      </c>
      <c r="G9" s="86" t="s">
        <v>546</v>
      </c>
    </row>
    <row r="10" spans="1:7" ht="24.75" customHeight="1">
      <c r="A10" s="180" t="s">
        <v>545</v>
      </c>
      <c r="B10" s="21"/>
      <c r="C10" s="9" t="s">
        <v>414</v>
      </c>
      <c r="D10" s="186">
        <v>1</v>
      </c>
      <c r="E10" s="23" t="s">
        <v>437</v>
      </c>
      <c r="F10" s="205">
        <f>data!F5</f>
        <v>636000</v>
      </c>
      <c r="G10" s="86" t="s">
        <v>547</v>
      </c>
    </row>
    <row r="11" spans="1:7" ht="24.75" customHeight="1">
      <c r="A11" s="19" t="s">
        <v>126</v>
      </c>
      <c r="B11" s="21"/>
      <c r="C11" s="9" t="s">
        <v>414</v>
      </c>
      <c r="D11" s="186">
        <v>1</v>
      </c>
      <c r="E11" s="23" t="s">
        <v>437</v>
      </c>
      <c r="F11" s="205">
        <f>data!F6</f>
        <v>1630000</v>
      </c>
      <c r="G11" s="286" t="s">
        <v>397</v>
      </c>
    </row>
    <row r="12" spans="1:7" ht="24.75" customHeight="1">
      <c r="A12" s="19" t="s">
        <v>571</v>
      </c>
      <c r="B12" s="21"/>
      <c r="C12" s="9" t="s">
        <v>414</v>
      </c>
      <c r="D12" s="186">
        <v>1</v>
      </c>
      <c r="E12" s="23" t="s">
        <v>437</v>
      </c>
      <c r="F12" s="205">
        <f>data!F7</f>
        <v>1968600</v>
      </c>
      <c r="G12" s="286" t="s">
        <v>204</v>
      </c>
    </row>
    <row r="13" spans="1:7" ht="30.75" customHeight="1">
      <c r="A13" s="19" t="s">
        <v>548</v>
      </c>
      <c r="B13" s="214" t="s">
        <v>551</v>
      </c>
      <c r="C13" s="9" t="s">
        <v>414</v>
      </c>
      <c r="D13" s="186">
        <v>1</v>
      </c>
      <c r="E13" s="23" t="s">
        <v>437</v>
      </c>
      <c r="F13" s="205">
        <f>data!F8</f>
        <v>13181319</v>
      </c>
      <c r="G13" s="187"/>
    </row>
    <row r="14" spans="1:7" ht="24.75" customHeight="1">
      <c r="A14" s="19" t="s">
        <v>549</v>
      </c>
      <c r="B14" s="188"/>
      <c r="C14" s="84"/>
      <c r="D14" s="186"/>
      <c r="E14" s="23"/>
      <c r="F14" s="205">
        <f>SUM(F7:F13)</f>
        <v>160435000</v>
      </c>
      <c r="G14" s="187"/>
    </row>
    <row r="15" spans="1:7" ht="24.75" customHeight="1">
      <c r="A15" s="19" t="s">
        <v>452</v>
      </c>
      <c r="B15" s="189">
        <v>0.05</v>
      </c>
      <c r="C15" s="9" t="s">
        <v>414</v>
      </c>
      <c r="D15" s="186">
        <v>1</v>
      </c>
      <c r="E15" s="23" t="s">
        <v>437</v>
      </c>
      <c r="F15" s="205">
        <f>data!F10</f>
        <v>8021000</v>
      </c>
      <c r="G15" s="187"/>
    </row>
    <row r="16" spans="1:7" ht="24.75" customHeight="1">
      <c r="A16" s="19" t="s">
        <v>453</v>
      </c>
      <c r="B16" s="190"/>
      <c r="C16" s="9" t="s">
        <v>414</v>
      </c>
      <c r="D16" s="186">
        <v>1</v>
      </c>
      <c r="E16" s="23" t="s">
        <v>437</v>
      </c>
      <c r="F16" s="205">
        <f>data!F11</f>
        <v>1525000</v>
      </c>
      <c r="G16" s="134" t="s">
        <v>550</v>
      </c>
    </row>
    <row r="17" spans="1:7" ht="24.75" customHeight="1">
      <c r="A17" s="19" t="s">
        <v>454</v>
      </c>
      <c r="B17" s="186"/>
      <c r="C17" s="9" t="s">
        <v>414</v>
      </c>
      <c r="D17" s="186">
        <v>1</v>
      </c>
      <c r="E17" s="23" t="s">
        <v>437</v>
      </c>
      <c r="F17" s="205">
        <f>SUM(F14:F16)</f>
        <v>169981000</v>
      </c>
      <c r="G17" s="191"/>
    </row>
    <row r="18" spans="1:7" ht="24.75" customHeight="1">
      <c r="A18" s="19"/>
      <c r="B18" s="186"/>
      <c r="C18" s="9"/>
      <c r="D18" s="186"/>
      <c r="E18" s="23"/>
      <c r="F18" s="205"/>
      <c r="G18" s="191"/>
    </row>
    <row r="19" spans="1:7" ht="24.75" customHeight="1">
      <c r="A19" s="1488" t="s">
        <v>1358</v>
      </c>
      <c r="B19" s="1489"/>
      <c r="C19" s="1489"/>
      <c r="D19" s="1489"/>
      <c r="E19" s="1489"/>
      <c r="F19" s="1489"/>
      <c r="G19" s="1490"/>
    </row>
    <row r="20" spans="1:7" ht="24.75" customHeight="1">
      <c r="A20" s="288" t="s">
        <v>125</v>
      </c>
      <c r="B20" s="23"/>
      <c r="C20" s="9" t="s">
        <v>414</v>
      </c>
      <c r="D20" s="186">
        <v>1</v>
      </c>
      <c r="E20" s="23" t="s">
        <v>437</v>
      </c>
      <c r="F20" s="205">
        <f>data!F20</f>
        <v>486000</v>
      </c>
      <c r="G20" s="289"/>
    </row>
    <row r="21" spans="1:7" ht="24.75" customHeight="1">
      <c r="A21" s="1488" t="s">
        <v>1359</v>
      </c>
      <c r="B21" s="1478"/>
      <c r="C21" s="1478"/>
      <c r="D21" s="1478"/>
      <c r="E21" s="1478"/>
      <c r="F21" s="1478"/>
      <c r="G21" s="1480"/>
    </row>
    <row r="22" spans="1:7" ht="24.75" customHeight="1">
      <c r="A22" s="290" t="s">
        <v>399</v>
      </c>
      <c r="B22" s="17" t="s">
        <v>1374</v>
      </c>
      <c r="C22" s="9" t="s">
        <v>414</v>
      </c>
      <c r="D22" s="186">
        <v>1</v>
      </c>
      <c r="E22" s="23" t="s">
        <v>437</v>
      </c>
      <c r="F22" s="205">
        <f>data!F21</f>
        <v>5687800</v>
      </c>
      <c r="G22" s="289"/>
    </row>
    <row r="23" spans="1:7" ht="24.75" customHeight="1">
      <c r="A23" s="290"/>
      <c r="B23" s="17"/>
      <c r="C23" s="9"/>
      <c r="D23" s="186"/>
      <c r="E23" s="23"/>
      <c r="F23" s="205"/>
      <c r="G23" s="289"/>
    </row>
    <row r="24" spans="1:7" ht="24.75" customHeight="1">
      <c r="A24" s="290"/>
      <c r="B24" s="17"/>
      <c r="C24" s="9"/>
      <c r="D24" s="186"/>
      <c r="E24" s="23"/>
      <c r="F24" s="205"/>
      <c r="G24" s="289"/>
    </row>
    <row r="25" spans="1:7" ht="24.75" customHeight="1">
      <c r="A25" s="290"/>
      <c r="B25" s="17"/>
      <c r="C25" s="9"/>
      <c r="D25" s="186"/>
      <c r="E25" s="23"/>
      <c r="F25" s="205"/>
      <c r="G25" s="289"/>
    </row>
    <row r="26" spans="1:7" ht="24.75" customHeight="1" thickBot="1">
      <c r="A26" s="291" t="s">
        <v>455</v>
      </c>
      <c r="B26" s="1481"/>
      <c r="C26" s="1482"/>
      <c r="D26" s="1482"/>
      <c r="E26" s="1482"/>
      <c r="F26" s="292">
        <f>F17+F20+F22</f>
        <v>176154800</v>
      </c>
      <c r="G26" s="293"/>
    </row>
    <row r="27" spans="1:7" ht="24.75" customHeight="1">
      <c r="A27" s="192"/>
      <c r="B27" s="192"/>
      <c r="C27" s="193"/>
      <c r="D27" s="193"/>
      <c r="E27" s="193"/>
      <c r="F27" s="193"/>
      <c r="G27" s="194"/>
    </row>
    <row r="28" spans="1:5" s="136" customFormat="1" ht="24.75" customHeight="1">
      <c r="A28" s="29" t="s">
        <v>542</v>
      </c>
      <c r="E28" s="29" t="s">
        <v>543</v>
      </c>
    </row>
  </sheetData>
  <mergeCells count="6">
    <mergeCell ref="A19:G19"/>
    <mergeCell ref="B26:E26"/>
    <mergeCell ref="A3:F3"/>
    <mergeCell ref="A4:C4"/>
    <mergeCell ref="A6:G6"/>
    <mergeCell ref="A21:G21"/>
  </mergeCells>
  <printOptions/>
  <pageMargins left="0.35433070866141736" right="0.5511811023622047" top="0.5905511811023623" bottom="0.5905511811023623" header="0" footer="0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6"/>
  <sheetViews>
    <sheetView showGridLines="0" view="pageBreakPreview" zoomScaleSheetLayoutView="100" workbookViewId="0" topLeftCell="A82">
      <selection activeCell="G74" sqref="G74"/>
    </sheetView>
  </sheetViews>
  <sheetFormatPr defaultColWidth="9.00390625" defaultRowHeight="24.75" customHeight="1"/>
  <cols>
    <col min="1" max="1" width="22.75390625" style="29" customWidth="1"/>
    <col min="2" max="2" width="13.75390625" style="29" customWidth="1"/>
    <col min="3" max="3" width="5.75390625" style="29" customWidth="1"/>
    <col min="4" max="4" width="7.75390625" style="29" customWidth="1"/>
    <col min="5" max="5" width="9.75390625" style="29" customWidth="1"/>
    <col min="6" max="6" width="12.75390625" style="29" customWidth="1"/>
    <col min="7" max="7" width="11.75390625" style="206" customWidth="1"/>
    <col min="8" max="8" width="9.00390625" style="29" customWidth="1"/>
    <col min="9" max="9" width="10.50390625" style="29" bestFit="1" customWidth="1"/>
    <col min="10" max="16384" width="9.00390625" style="29" customWidth="1"/>
  </cols>
  <sheetData>
    <row r="1" spans="1:7" ht="25.5" customHeight="1">
      <c r="A1" s="1465" t="str">
        <f>'預算書總表'!A1</f>
        <v>經濟部水利署第十河川局</v>
      </c>
      <c r="B1" s="1465"/>
      <c r="C1" s="1465"/>
      <c r="D1" s="1465"/>
      <c r="E1" s="1465"/>
      <c r="F1" s="1465"/>
      <c r="G1" s="1465"/>
    </row>
    <row r="2" spans="1:7" ht="25.5" customHeight="1">
      <c r="A2" s="1465" t="s">
        <v>441</v>
      </c>
      <c r="B2" s="1465"/>
      <c r="C2" s="1465"/>
      <c r="D2" s="1465"/>
      <c r="E2" s="1465"/>
      <c r="F2" s="1465"/>
      <c r="G2" s="1465"/>
    </row>
    <row r="3" spans="1:7" ht="25.5" customHeight="1">
      <c r="A3" s="1483" t="str">
        <f>data!F1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ht="25.5" customHeight="1" thickBot="1">
      <c r="A4" s="95" t="str">
        <f>'預算書總表'!A4</f>
        <v>施工地點：台北縣瑞芳鎮</v>
      </c>
      <c r="B4" s="95"/>
      <c r="C4" s="95"/>
      <c r="D4" s="31"/>
      <c r="E4" s="31"/>
      <c r="F4" s="251"/>
      <c r="G4" s="251" t="s">
        <v>197</v>
      </c>
    </row>
    <row r="5" spans="1:7" s="206" customFormat="1" ht="25.5" customHeight="1">
      <c r="A5" s="178" t="s">
        <v>442</v>
      </c>
      <c r="B5" s="179" t="s">
        <v>443</v>
      </c>
      <c r="C5" s="179" t="s">
        <v>439</v>
      </c>
      <c r="D5" s="179" t="s">
        <v>440</v>
      </c>
      <c r="E5" s="179" t="s">
        <v>444</v>
      </c>
      <c r="F5" s="179" t="s">
        <v>445</v>
      </c>
      <c r="G5" s="83" t="s">
        <v>446</v>
      </c>
    </row>
    <row r="6" spans="1:7" s="32" customFormat="1" ht="25.5" customHeight="1">
      <c r="A6" s="1466" t="s">
        <v>1254</v>
      </c>
      <c r="B6" s="1467"/>
      <c r="C6" s="1467"/>
      <c r="D6" s="1467"/>
      <c r="E6" s="1467"/>
      <c r="F6" s="1467"/>
      <c r="G6" s="1468"/>
    </row>
    <row r="7" spans="1:7" s="32" customFormat="1" ht="25.5" customHeight="1">
      <c r="A7" s="386" t="s">
        <v>1252</v>
      </c>
      <c r="B7" s="518" t="s">
        <v>1253</v>
      </c>
      <c r="C7" s="279" t="s">
        <v>593</v>
      </c>
      <c r="D7" s="385">
        <f>'數量計算'!E6</f>
        <v>43452</v>
      </c>
      <c r="E7" s="199">
        <v>32</v>
      </c>
      <c r="F7" s="199">
        <f>D7*E7</f>
        <v>1390464</v>
      </c>
      <c r="G7" s="41" t="s">
        <v>929</v>
      </c>
    </row>
    <row r="8" spans="1:7" s="32" customFormat="1" ht="25.5" customHeight="1">
      <c r="A8" s="386" t="s">
        <v>787</v>
      </c>
      <c r="B8" s="518" t="s">
        <v>727</v>
      </c>
      <c r="C8" s="279" t="s">
        <v>593</v>
      </c>
      <c r="D8" s="385">
        <f>'數量計算'!E8</f>
        <v>30964</v>
      </c>
      <c r="E8" s="199">
        <v>32</v>
      </c>
      <c r="F8" s="199">
        <f aca="true" t="shared" si="0" ref="F8:F71">D8*E8</f>
        <v>990848</v>
      </c>
      <c r="G8" s="41" t="s">
        <v>930</v>
      </c>
    </row>
    <row r="9" spans="1:7" s="32" customFormat="1" ht="25.5" customHeight="1">
      <c r="A9" s="387" t="s">
        <v>808</v>
      </c>
      <c r="B9" s="518" t="s">
        <v>807</v>
      </c>
      <c r="C9" s="279" t="s">
        <v>593</v>
      </c>
      <c r="D9" s="385">
        <f>'數量計算'!E10</f>
        <v>15017</v>
      </c>
      <c r="E9" s="199">
        <v>25</v>
      </c>
      <c r="F9" s="199">
        <f t="shared" si="0"/>
        <v>375425</v>
      </c>
      <c r="G9" s="41" t="s">
        <v>931</v>
      </c>
    </row>
    <row r="10" spans="1:7" s="32" customFormat="1" ht="25.5" customHeight="1">
      <c r="A10" s="387" t="s">
        <v>865</v>
      </c>
      <c r="B10" s="518" t="s">
        <v>807</v>
      </c>
      <c r="C10" s="279" t="s">
        <v>593</v>
      </c>
      <c r="D10" s="385">
        <f>'數量計算'!E12</f>
        <v>1800</v>
      </c>
      <c r="E10" s="199">
        <v>148</v>
      </c>
      <c r="F10" s="199">
        <f t="shared" si="0"/>
        <v>266400</v>
      </c>
      <c r="G10" s="41" t="s">
        <v>932</v>
      </c>
    </row>
    <row r="11" spans="1:7" s="32" customFormat="1" ht="25.5" customHeight="1">
      <c r="A11" s="387" t="s">
        <v>928</v>
      </c>
      <c r="B11" s="518" t="s">
        <v>807</v>
      </c>
      <c r="C11" s="279" t="s">
        <v>938</v>
      </c>
      <c r="D11" s="385">
        <f>'數量計算'!E14</f>
        <v>14288</v>
      </c>
      <c r="E11" s="199">
        <v>33</v>
      </c>
      <c r="F11" s="199">
        <f t="shared" si="0"/>
        <v>471504</v>
      </c>
      <c r="G11" s="41" t="s">
        <v>933</v>
      </c>
    </row>
    <row r="12" spans="1:7" s="32" customFormat="1" ht="25.5" customHeight="1">
      <c r="A12" s="387" t="str">
        <f>'單價分析表'!D5</f>
        <v>210kgf/cm^2預拌混凝土   'G≦1",S=4"</v>
      </c>
      <c r="B12" s="518"/>
      <c r="C12" s="279" t="str">
        <f>'單價分析表'!H5</f>
        <v>m3</v>
      </c>
      <c r="D12" s="385">
        <f>'數量計算'!E16</f>
        <v>21285</v>
      </c>
      <c r="E12" s="199">
        <f>'單價分析表'!G17</f>
        <v>1910</v>
      </c>
      <c r="F12" s="199">
        <f t="shared" si="0"/>
        <v>40654350</v>
      </c>
      <c r="G12" s="41" t="s">
        <v>936</v>
      </c>
    </row>
    <row r="13" spans="1:7" s="32" customFormat="1" ht="25.5" customHeight="1">
      <c r="A13" s="387" t="str">
        <f>'單價分析表'!D18</f>
        <v>140kgf/cm^2預拌混凝土 'G≦1",S=4"</v>
      </c>
      <c r="B13" s="294" t="s">
        <v>580</v>
      </c>
      <c r="C13" s="279" t="str">
        <f>'單價分析表'!H18</f>
        <v>m3</v>
      </c>
      <c r="D13" s="385">
        <f>'數量計算'!E37</f>
        <v>612</v>
      </c>
      <c r="E13" s="199">
        <f>'單價分析表'!G30</f>
        <v>1810</v>
      </c>
      <c r="F13" s="199">
        <f t="shared" si="0"/>
        <v>1107720</v>
      </c>
      <c r="G13" s="41" t="s">
        <v>937</v>
      </c>
    </row>
    <row r="14" spans="1:7" s="32" customFormat="1" ht="25.5" customHeight="1">
      <c r="A14" s="387" t="str">
        <f>'單價分析表'!D47</f>
        <v>甲種模型損耗</v>
      </c>
      <c r="B14" s="294"/>
      <c r="C14" s="279" t="str">
        <f>'單價分析表'!H47</f>
        <v>m2</v>
      </c>
      <c r="D14" s="385">
        <f>'數量計算'!E49</f>
        <v>12356</v>
      </c>
      <c r="E14" s="199">
        <f>'單價分析表'!G62</f>
        <v>380</v>
      </c>
      <c r="F14" s="199">
        <f t="shared" si="0"/>
        <v>4695280</v>
      </c>
      <c r="G14" s="41" t="s">
        <v>1117</v>
      </c>
    </row>
    <row r="15" spans="1:7" s="32" customFormat="1" ht="25.5" customHeight="1">
      <c r="A15" s="387" t="str">
        <f>'單價分析表'!D69</f>
        <v>乙種模型損耗(基礎用)</v>
      </c>
      <c r="B15" s="294"/>
      <c r="C15" s="279" t="str">
        <f>'單價分析表'!H69</f>
        <v>m2</v>
      </c>
      <c r="D15" s="385">
        <f>'數量計算'!E66</f>
        <v>3515</v>
      </c>
      <c r="E15" s="199">
        <f>'單價分析表'!G83</f>
        <v>270</v>
      </c>
      <c r="F15" s="199">
        <f t="shared" si="0"/>
        <v>949050</v>
      </c>
      <c r="G15" s="41" t="s">
        <v>850</v>
      </c>
    </row>
    <row r="16" spans="1:7" s="32" customFormat="1" ht="25.5" customHeight="1">
      <c r="A16" s="387" t="str">
        <f>'單價分析表'!D84</f>
        <v>造型模板 </v>
      </c>
      <c r="B16" s="294"/>
      <c r="C16" s="279" t="str">
        <f>'單價分析表'!H84</f>
        <v>m2</v>
      </c>
      <c r="D16" s="385">
        <f>'數量計算'!E79</f>
        <v>6607</v>
      </c>
      <c r="E16" s="199">
        <f>'單價分析表'!G94</f>
        <v>860</v>
      </c>
      <c r="F16" s="199">
        <f t="shared" si="0"/>
        <v>5682020</v>
      </c>
      <c r="G16" s="41" t="s">
        <v>1237</v>
      </c>
    </row>
    <row r="17" spans="1:7" s="32" customFormat="1" ht="25.5" customHeight="1">
      <c r="A17" s="387" t="str">
        <f>'單價分析表'!D115</f>
        <v>鋼筋及加工組立</v>
      </c>
      <c r="B17" s="294" t="s">
        <v>724</v>
      </c>
      <c r="C17" s="279" t="str">
        <f>'單價分析表'!H115</f>
        <v>噸</v>
      </c>
      <c r="D17" s="385">
        <f>'數量計算'!E95</f>
        <v>1372</v>
      </c>
      <c r="E17" s="199">
        <f>'單價分析表'!G125</f>
        <v>18000</v>
      </c>
      <c r="F17" s="199">
        <f t="shared" si="0"/>
        <v>24696000</v>
      </c>
      <c r="G17" s="41" t="s">
        <v>851</v>
      </c>
    </row>
    <row r="18" spans="1:7" s="32" customFormat="1" ht="25.5" customHeight="1">
      <c r="A18" s="387" t="str">
        <f>'單價分析表'!D132</f>
        <v>鋼模損耗及折舊</v>
      </c>
      <c r="B18" s="294"/>
      <c r="C18" s="279" t="str">
        <f>'單價分析表'!H132</f>
        <v>m2</v>
      </c>
      <c r="D18" s="385">
        <f>'數量計算'!E108</f>
        <v>4332</v>
      </c>
      <c r="E18" s="199">
        <f>'單價分析表'!G144</f>
        <v>500</v>
      </c>
      <c r="F18" s="199">
        <f t="shared" si="0"/>
        <v>2166000</v>
      </c>
      <c r="G18" s="41" t="s">
        <v>1143</v>
      </c>
    </row>
    <row r="19" spans="1:7" s="32" customFormat="1" ht="25.5" customHeight="1">
      <c r="A19" s="387" t="str">
        <f>'單價分析表'!D145</f>
        <v>50kg級鋼軌樁</v>
      </c>
      <c r="B19" s="294"/>
      <c r="C19" s="279" t="str">
        <f>'單價分析表'!H145</f>
        <v>支</v>
      </c>
      <c r="D19" s="385">
        <f>'數量計算'!E122</f>
        <v>825</v>
      </c>
      <c r="E19" s="199">
        <f>'單價分析表'!G156</f>
        <v>8890</v>
      </c>
      <c r="F19" s="199">
        <f t="shared" si="0"/>
        <v>7334250</v>
      </c>
      <c r="G19" s="41" t="s">
        <v>1144</v>
      </c>
    </row>
    <row r="20" spans="1:7" s="32" customFormat="1" ht="25.5" customHeight="1">
      <c r="A20" s="386" t="str">
        <f>'單價分析表'!D174</f>
        <v>直徑3"洩水管</v>
      </c>
      <c r="B20" s="296"/>
      <c r="C20" s="279" t="str">
        <f>'單價分析表'!H174</f>
        <v>支</v>
      </c>
      <c r="D20" s="385">
        <f>'數量計算'!E124</f>
        <v>1707</v>
      </c>
      <c r="E20" s="199">
        <f>'單價分析表'!G188</f>
        <v>300</v>
      </c>
      <c r="F20" s="199">
        <f t="shared" si="0"/>
        <v>512100</v>
      </c>
      <c r="G20" s="41" t="s">
        <v>1145</v>
      </c>
    </row>
    <row r="21" spans="1:7" s="32" customFormat="1" ht="25.5" customHeight="1">
      <c r="A21" s="387" t="str">
        <f>'單價分析表'!D195</f>
        <v>防洪牆伸縮縫</v>
      </c>
      <c r="B21" s="296"/>
      <c r="C21" s="279" t="str">
        <f>'單價分析表'!H195</f>
        <v>處</v>
      </c>
      <c r="D21" s="385">
        <f>'數量計算'!E127</f>
        <v>57</v>
      </c>
      <c r="E21" s="199">
        <f>'單價分析表'!G208</f>
        <v>7820</v>
      </c>
      <c r="F21" s="199">
        <f t="shared" si="0"/>
        <v>445740</v>
      </c>
      <c r="G21" s="41" t="s">
        <v>641</v>
      </c>
    </row>
    <row r="22" spans="1:7" s="32" customFormat="1" ht="25.5" customHeight="1">
      <c r="A22" s="387" t="str">
        <f>'單價分析表'!D209</f>
        <v>側溝（1M*1M）</v>
      </c>
      <c r="B22" s="295"/>
      <c r="C22" s="279" t="str">
        <f>'單價分析表'!H209</f>
        <v>m</v>
      </c>
      <c r="D22" s="385">
        <f>'數量計算'!E130</f>
        <v>408</v>
      </c>
      <c r="E22" s="199">
        <f>'單價分析表'!G219</f>
        <v>3120</v>
      </c>
      <c r="F22" s="199">
        <f t="shared" si="0"/>
        <v>1272960</v>
      </c>
      <c r="G22" s="41" t="s">
        <v>642</v>
      </c>
    </row>
    <row r="23" spans="1:7" ht="25.5" customHeight="1">
      <c r="A23" s="241" t="str">
        <f>'單價分析表'!D226</f>
        <v>側溝格柵版（1M*1M）</v>
      </c>
      <c r="B23" s="294"/>
      <c r="C23" s="279" t="str">
        <f>'單價分析表'!H226</f>
        <v>塊</v>
      </c>
      <c r="D23" s="385">
        <f>'數量計算'!E132</f>
        <v>82</v>
      </c>
      <c r="E23" s="720">
        <f>'單價分析表'!G239</f>
        <v>2860</v>
      </c>
      <c r="F23" s="199">
        <f t="shared" si="0"/>
        <v>234520</v>
      </c>
      <c r="G23" s="41" t="s">
        <v>643</v>
      </c>
    </row>
    <row r="24" spans="1:7" ht="25.5" customHeight="1">
      <c r="A24" s="241" t="str">
        <f>'單價分析表'!D240</f>
        <v>預鑄涵版（1M*1M）</v>
      </c>
      <c r="B24" s="240"/>
      <c r="C24" s="279" t="str">
        <f>'單價分析表'!H240</f>
        <v>塊</v>
      </c>
      <c r="D24" s="385">
        <f>'數量計算'!E134</f>
        <v>326</v>
      </c>
      <c r="E24" s="720">
        <f>'單價分析表'!G251</f>
        <v>900</v>
      </c>
      <c r="F24" s="199">
        <f>D24*E24</f>
        <v>293400</v>
      </c>
      <c r="G24" s="41" t="s">
        <v>1116</v>
      </c>
    </row>
    <row r="25" spans="1:7" ht="25.5" customHeight="1">
      <c r="A25" s="241" t="str">
        <f>'單價分析表'!D258</f>
        <v>側溝（1M*0.8M）</v>
      </c>
      <c r="B25" s="240"/>
      <c r="C25" s="279" t="str">
        <f>'單價分析表'!H258</f>
        <v>m</v>
      </c>
      <c r="D25" s="385">
        <f>'數量計算'!E136</f>
        <v>247</v>
      </c>
      <c r="E25" s="720">
        <f>'單價分析表'!G269</f>
        <v>3000</v>
      </c>
      <c r="F25" s="199">
        <f>D25*E25</f>
        <v>741000</v>
      </c>
      <c r="G25" s="41" t="s">
        <v>1118</v>
      </c>
    </row>
    <row r="26" spans="1:7" ht="25.5" customHeight="1" thickBot="1">
      <c r="A26" s="1351" t="str">
        <f>'單價分析表'!D270</f>
        <v>側溝格柵版（1M*0.8M）</v>
      </c>
      <c r="B26" s="1148"/>
      <c r="C26" s="734" t="str">
        <f>'單價分析表'!H270</f>
        <v>塊</v>
      </c>
      <c r="D26" s="1149">
        <f>'數量計算'!E138</f>
        <v>50</v>
      </c>
      <c r="E26" s="1150">
        <f>'單價分析表'!G283</f>
        <v>2370</v>
      </c>
      <c r="F26" s="1151">
        <f>D26*E26</f>
        <v>118500</v>
      </c>
      <c r="G26" s="1152" t="s">
        <v>1119</v>
      </c>
    </row>
    <row r="27" spans="1:6" ht="25.5" customHeight="1">
      <c r="A27" s="196"/>
      <c r="B27" s="196"/>
      <c r="C27" s="196"/>
      <c r="D27" s="196"/>
      <c r="E27" s="196"/>
      <c r="F27" s="261"/>
    </row>
    <row r="28" spans="1:6" ht="25.5" customHeight="1">
      <c r="A28" s="196" t="s">
        <v>457</v>
      </c>
      <c r="B28" s="196"/>
      <c r="C28" s="196"/>
      <c r="D28" s="196"/>
      <c r="E28" s="196" t="s">
        <v>458</v>
      </c>
      <c r="F28" s="261"/>
    </row>
    <row r="29" spans="1:7" ht="24.75" customHeight="1">
      <c r="A29" s="1465" t="str">
        <f>A1</f>
        <v>經濟部水利署第十河川局</v>
      </c>
      <c r="B29" s="1465"/>
      <c r="C29" s="1465"/>
      <c r="D29" s="1465"/>
      <c r="E29" s="1465"/>
      <c r="F29" s="1465"/>
      <c r="G29" s="1465"/>
    </row>
    <row r="30" spans="1:7" ht="24.75" customHeight="1">
      <c r="A30" s="1465" t="s">
        <v>441</v>
      </c>
      <c r="B30" s="1465"/>
      <c r="C30" s="1465"/>
      <c r="D30" s="1465"/>
      <c r="E30" s="1465"/>
      <c r="F30" s="1465"/>
      <c r="G30" s="1465"/>
    </row>
    <row r="31" spans="1:7" ht="24.75" customHeight="1">
      <c r="A31" s="1483" t="str">
        <f>A3</f>
        <v>工程名稱:基隆河整體治理計劃（前期計劃）瑞芳區塊介壽橋下游左右岸護岸工程</v>
      </c>
      <c r="B31" s="1484"/>
      <c r="C31" s="1484"/>
      <c r="D31" s="1484"/>
      <c r="E31" s="1484"/>
      <c r="F31" s="1484"/>
      <c r="G31" s="253" t="s">
        <v>1268</v>
      </c>
    </row>
    <row r="32" spans="1:7" ht="24.75" customHeight="1" thickBot="1">
      <c r="A32" s="95" t="str">
        <f>A4</f>
        <v>施工地點：台北縣瑞芳鎮</v>
      </c>
      <c r="B32" s="95"/>
      <c r="C32" s="95"/>
      <c r="D32" s="31"/>
      <c r="E32" s="31"/>
      <c r="F32" s="251"/>
      <c r="G32" s="251" t="s">
        <v>196</v>
      </c>
    </row>
    <row r="33" spans="1:7" s="206" customFormat="1" ht="24.75" customHeight="1">
      <c r="A33" s="178" t="s">
        <v>442</v>
      </c>
      <c r="B33" s="179" t="s">
        <v>443</v>
      </c>
      <c r="C33" s="179" t="s">
        <v>439</v>
      </c>
      <c r="D33" s="179" t="s">
        <v>440</v>
      </c>
      <c r="E33" s="179" t="s">
        <v>444</v>
      </c>
      <c r="F33" s="179" t="s">
        <v>445</v>
      </c>
      <c r="G33" s="83" t="s">
        <v>446</v>
      </c>
    </row>
    <row r="34" spans="1:7" s="32" customFormat="1" ht="24.75" customHeight="1">
      <c r="A34" s="1466" t="s">
        <v>1254</v>
      </c>
      <c r="B34" s="1467"/>
      <c r="C34" s="1467"/>
      <c r="D34" s="1467"/>
      <c r="E34" s="1467"/>
      <c r="F34" s="1467"/>
      <c r="G34" s="1468"/>
    </row>
    <row r="35" spans="1:7" ht="24.75" customHeight="1">
      <c r="A35" s="241" t="str">
        <f>'單價分析表'!D290</f>
        <v>預鑄涵版（0.5M*0.8M）</v>
      </c>
      <c r="B35" s="240"/>
      <c r="C35" s="279" t="str">
        <f>'單價分析表'!H290</f>
        <v>塊</v>
      </c>
      <c r="D35" s="385">
        <f>'數量計算'!E140</f>
        <v>394</v>
      </c>
      <c r="E35" s="720">
        <f>'單價分析表'!G300</f>
        <v>520</v>
      </c>
      <c r="F35" s="199">
        <f>D35*E35</f>
        <v>204880</v>
      </c>
      <c r="G35" s="41" t="s">
        <v>1120</v>
      </c>
    </row>
    <row r="36" spans="1:7" ht="24.75" customHeight="1">
      <c r="A36" s="241" t="str">
        <f>'單價分析表'!D301</f>
        <v>加勁值生檔土牆</v>
      </c>
      <c r="B36" s="240"/>
      <c r="C36" s="279" t="str">
        <f>'單價分析表'!H301</f>
        <v>M2</v>
      </c>
      <c r="D36" s="385">
        <f>'數量計算'!E142</f>
        <v>2964</v>
      </c>
      <c r="E36" s="720">
        <f>'單價分析表'!G315</f>
        <v>6350</v>
      </c>
      <c r="F36" s="199">
        <f>D36*E36</f>
        <v>18821400</v>
      </c>
      <c r="G36" s="41" t="s">
        <v>1121</v>
      </c>
    </row>
    <row r="37" spans="1:7" s="413" customFormat="1" ht="24.75" customHeight="1">
      <c r="A37" s="644" t="str">
        <f>'單價分析表'!D322</f>
        <v>非黏性土壤夯實費</v>
      </c>
      <c r="B37" s="736"/>
      <c r="C37" s="279" t="str">
        <f>'單價分析表'!H322</f>
        <v>m3</v>
      </c>
      <c r="D37" s="385">
        <f>'數量計算'!E144</f>
        <v>43452</v>
      </c>
      <c r="E37" s="720">
        <f>'單價分析表'!G335</f>
        <v>15</v>
      </c>
      <c r="F37" s="720">
        <f t="shared" si="0"/>
        <v>651780</v>
      </c>
      <c r="G37" s="41" t="s">
        <v>1122</v>
      </c>
    </row>
    <row r="38" spans="1:7" ht="24.75" customHeight="1">
      <c r="A38" s="644" t="str">
        <f>'單價分析表'!D336</f>
        <v>拋塊(角)石 （粒徑平均≧60cm）</v>
      </c>
      <c r="B38" s="736"/>
      <c r="C38" s="279" t="str">
        <f>'單價分析表'!H336</f>
        <v>m3</v>
      </c>
      <c r="D38" s="385">
        <f>'數量計算'!E151</f>
        <v>17885</v>
      </c>
      <c r="E38" s="720">
        <f>'單價分析表'!G347</f>
        <v>90</v>
      </c>
      <c r="F38" s="199">
        <f t="shared" si="0"/>
        <v>1609650</v>
      </c>
      <c r="G38" s="41" t="s">
        <v>1123</v>
      </c>
    </row>
    <row r="39" spans="1:7" ht="24.75" customHeight="1">
      <c r="A39" s="644" t="str">
        <f>'單價分析表'!D354</f>
        <v>機編高鍍鋅(被覆P.V.C.)石籠3m*1m*1m</v>
      </c>
      <c r="B39" s="736"/>
      <c r="C39" s="279" t="str">
        <f>'單價分析表'!H354</f>
        <v>組</v>
      </c>
      <c r="D39" s="385">
        <f>'數量計算'!E155</f>
        <v>703</v>
      </c>
      <c r="E39" s="720">
        <f>'單價分析表'!G363</f>
        <v>4200</v>
      </c>
      <c r="F39" s="199">
        <f t="shared" si="0"/>
        <v>2952600</v>
      </c>
      <c r="G39" s="41" t="s">
        <v>1124</v>
      </c>
    </row>
    <row r="40" spans="1:7" ht="24.75" customHeight="1">
      <c r="A40" s="644" t="str">
        <f>'單價分析表'!D364</f>
        <v>噴附基材植生</v>
      </c>
      <c r="B40" s="736"/>
      <c r="C40" s="279" t="s">
        <v>1115</v>
      </c>
      <c r="D40" s="385">
        <f>'數量計算'!E157</f>
        <v>3773</v>
      </c>
      <c r="E40" s="720">
        <f>'單價分析表'!G379</f>
        <v>120</v>
      </c>
      <c r="F40" s="199">
        <f t="shared" si="0"/>
        <v>452760</v>
      </c>
      <c r="G40" s="41" t="s">
        <v>1125</v>
      </c>
    </row>
    <row r="41" spans="1:7" ht="24.75" customHeight="1">
      <c r="A41" s="1086" t="str">
        <f>'單價分析表'!D386</f>
        <v>合纖透水織布</v>
      </c>
      <c r="B41" s="240"/>
      <c r="C41" s="279" t="str">
        <f>'單價分析表'!H386</f>
        <v>M2</v>
      </c>
      <c r="D41" s="385">
        <f>'數量計算'!E160</f>
        <v>6779</v>
      </c>
      <c r="E41" s="720">
        <f>'單價分析表'!G396</f>
        <v>120</v>
      </c>
      <c r="F41" s="199">
        <f t="shared" si="0"/>
        <v>813480</v>
      </c>
      <c r="G41" s="41" t="s">
        <v>1126</v>
      </c>
    </row>
    <row r="42" spans="1:7" ht="24.75" customHeight="1">
      <c r="A42" s="241" t="str">
        <f>'單價分析表'!D397</f>
        <v>碎石級配</v>
      </c>
      <c r="B42" s="240"/>
      <c r="C42" s="279" t="str">
        <f>'單價分析表'!H397</f>
        <v>m3</v>
      </c>
      <c r="D42" s="385">
        <f>'數量計算'!E164</f>
        <v>2057</v>
      </c>
      <c r="E42" s="720">
        <f>'單價分析表'!G411</f>
        <v>1050</v>
      </c>
      <c r="F42" s="199">
        <f t="shared" si="0"/>
        <v>2159850</v>
      </c>
      <c r="G42" s="41" t="s">
        <v>1127</v>
      </c>
    </row>
    <row r="43" spans="1:7" ht="24.75" customHeight="1">
      <c r="A43" s="241" t="str">
        <f>'單價分析表'!D418</f>
        <v>路床滾壓</v>
      </c>
      <c r="B43" s="240"/>
      <c r="C43" s="279" t="s">
        <v>1115</v>
      </c>
      <c r="D43" s="385">
        <f>'數量計算'!E167</f>
        <v>3887</v>
      </c>
      <c r="E43" s="720">
        <f>'單價分析表'!G431</f>
        <v>11</v>
      </c>
      <c r="F43" s="199">
        <f t="shared" si="0"/>
        <v>42757</v>
      </c>
      <c r="G43" s="41" t="s">
        <v>1128</v>
      </c>
    </row>
    <row r="44" spans="1:7" ht="24.75" customHeight="1">
      <c r="A44" s="241" t="str">
        <f>'單價分析表'!D432</f>
        <v>鋪設透層</v>
      </c>
      <c r="B44" s="240"/>
      <c r="C44" s="279" t="s">
        <v>1115</v>
      </c>
      <c r="D44" s="385">
        <f>'數量計算'!E170</f>
        <v>3887</v>
      </c>
      <c r="E44" s="720">
        <f>'單價分析表'!G443</f>
        <v>13</v>
      </c>
      <c r="F44" s="199">
        <f t="shared" si="0"/>
        <v>50531</v>
      </c>
      <c r="G44" s="41" t="s">
        <v>1129</v>
      </c>
    </row>
    <row r="45" spans="1:7" ht="24.75" customHeight="1">
      <c r="A45" s="241" t="str">
        <f>'單價分析表'!D450</f>
        <v>舖設黏層(150℃  AC)</v>
      </c>
      <c r="B45" s="240"/>
      <c r="C45" s="279" t="s">
        <v>1115</v>
      </c>
      <c r="D45" s="385">
        <f>'數量計算'!E173</f>
        <v>3887</v>
      </c>
      <c r="E45" s="720">
        <f>'單價分析表'!G460</f>
        <v>13</v>
      </c>
      <c r="F45" s="199">
        <f t="shared" si="0"/>
        <v>50531</v>
      </c>
      <c r="G45" s="41" t="s">
        <v>1130</v>
      </c>
    </row>
    <row r="46" spans="1:7" ht="24.75" customHeight="1">
      <c r="A46" s="241" t="str">
        <f>'單價分析表'!D461</f>
        <v>瀝青混凝土面層</v>
      </c>
      <c r="B46" s="240" t="str">
        <f>'單價分析表'!A473</f>
        <v>每㎡10㎝厚AC面層</v>
      </c>
      <c r="C46" s="279" t="str">
        <f>'單價分析表'!H461</f>
        <v>m2</v>
      </c>
      <c r="D46" s="385">
        <f>'數量計算'!E182</f>
        <v>3887</v>
      </c>
      <c r="E46" s="720">
        <f>'單價分析表'!G475</f>
        <v>462</v>
      </c>
      <c r="F46" s="199">
        <f t="shared" si="0"/>
        <v>1795794</v>
      </c>
      <c r="G46" s="41" t="s">
        <v>1131</v>
      </c>
    </row>
    <row r="47" spans="1:7" ht="24.75" customHeight="1">
      <c r="A47" s="241" t="str">
        <f>'單價分析表'!D482</f>
        <v>預鑄緣石</v>
      </c>
      <c r="B47" s="240"/>
      <c r="C47" s="279" t="str">
        <f>'單價分析表'!H482</f>
        <v>m</v>
      </c>
      <c r="D47" s="385">
        <f>'數量計算'!E185</f>
        <v>408</v>
      </c>
      <c r="E47" s="720">
        <f>'單價分析表'!G494</f>
        <v>615</v>
      </c>
      <c r="F47" s="199">
        <f t="shared" si="0"/>
        <v>250920</v>
      </c>
      <c r="G47" s="41" t="s">
        <v>1132</v>
      </c>
    </row>
    <row r="48" spans="1:7" ht="24.75" customHeight="1">
      <c r="A48" s="241" t="str">
        <f>'單價分析表'!D495</f>
        <v>仿木欄杆</v>
      </c>
      <c r="B48" s="240"/>
      <c r="C48" s="279" t="str">
        <f>'單價分析表'!H495</f>
        <v>組</v>
      </c>
      <c r="D48" s="385">
        <f>'數量計算'!E187</f>
        <v>433</v>
      </c>
      <c r="E48" s="720">
        <f>'單價分析表'!G507</f>
        <v>6000</v>
      </c>
      <c r="F48" s="199">
        <f t="shared" si="0"/>
        <v>2598000</v>
      </c>
      <c r="G48" s="41" t="s">
        <v>1146</v>
      </c>
    </row>
    <row r="49" spans="1:7" ht="24.75" customHeight="1">
      <c r="A49" s="241" t="str">
        <f>'單價分析表'!D514</f>
        <v>仿竹欄杆</v>
      </c>
      <c r="B49" s="240"/>
      <c r="C49" s="279" t="str">
        <f>'單價分析表'!H514</f>
        <v>組</v>
      </c>
      <c r="D49" s="385">
        <f>'數量計算'!E190</f>
        <v>780</v>
      </c>
      <c r="E49" s="720">
        <f>'單價分析表'!G526</f>
        <v>6000</v>
      </c>
      <c r="F49" s="199">
        <f t="shared" si="0"/>
        <v>4680000</v>
      </c>
      <c r="G49" s="41" t="s">
        <v>1147</v>
      </c>
    </row>
    <row r="50" spans="1:7" ht="24.75" customHeight="1">
      <c r="A50" s="241" t="str">
        <f>'單價分析表'!D527</f>
        <v>工程告示牌</v>
      </c>
      <c r="B50" s="240"/>
      <c r="C50" s="279" t="str">
        <f>'單價分析表'!H527</f>
        <v>面</v>
      </c>
      <c r="D50" s="385">
        <f>'數量計算'!E193</f>
        <v>2</v>
      </c>
      <c r="E50" s="720">
        <f>'單價分析表'!G539</f>
        <v>7700</v>
      </c>
      <c r="F50" s="199">
        <f t="shared" si="0"/>
        <v>15400</v>
      </c>
      <c r="G50" s="41" t="s">
        <v>1186</v>
      </c>
    </row>
    <row r="51" spans="1:7" ht="24.75" customHeight="1">
      <c r="A51" s="241" t="str">
        <f>'單價分析表'!D546</f>
        <v>完工告示牌（B式）</v>
      </c>
      <c r="B51" s="240"/>
      <c r="C51" s="279" t="str">
        <f>'單價分析表'!H546</f>
        <v>面</v>
      </c>
      <c r="D51" s="385">
        <f>'數量計算'!E195</f>
        <v>1</v>
      </c>
      <c r="E51" s="720">
        <f>'單價分析表'!G557</f>
        <v>6800</v>
      </c>
      <c r="F51" s="199">
        <f t="shared" si="0"/>
        <v>6800</v>
      </c>
      <c r="G51" s="41" t="s">
        <v>1187</v>
      </c>
    </row>
    <row r="52" spans="1:7" ht="24.75" customHeight="1">
      <c r="A52" s="241" t="str">
        <f>'單價分析表'!D558</f>
        <v>警告標示牌（F式）</v>
      </c>
      <c r="B52" s="240"/>
      <c r="C52" s="279" t="str">
        <f>'單價分析表'!H558</f>
        <v>面</v>
      </c>
      <c r="D52" s="385">
        <f>'數量計算'!E197</f>
        <v>3</v>
      </c>
      <c r="E52" s="720">
        <f>'單價分析表'!G571</f>
        <v>2700</v>
      </c>
      <c r="F52" s="199">
        <f t="shared" si="0"/>
        <v>8100</v>
      </c>
      <c r="G52" s="41" t="s">
        <v>1238</v>
      </c>
    </row>
    <row r="53" spans="1:7" ht="24.75" customHeight="1">
      <c r="A53" s="1221" t="str">
        <f>'單價分析表'!D578</f>
        <v>HDPE透水管,50mm∮</v>
      </c>
      <c r="B53" s="240"/>
      <c r="C53" s="279" t="str">
        <f>'單價分析表'!H578</f>
        <v>支</v>
      </c>
      <c r="D53" s="385">
        <f>'數量計算'!E199</f>
        <v>124</v>
      </c>
      <c r="E53" s="720">
        <f>'單價分析表'!G586</f>
        <v>190</v>
      </c>
      <c r="F53" s="199">
        <f t="shared" si="0"/>
        <v>23560</v>
      </c>
      <c r="G53" s="41" t="s">
        <v>1289</v>
      </c>
    </row>
    <row r="54" spans="1:7" ht="24.75" customHeight="1">
      <c r="A54" s="1221" t="str">
        <f>'單價分析表'!D587</f>
        <v>∮22mm不鏽鋼踏步</v>
      </c>
      <c r="B54" s="240"/>
      <c r="C54" s="279" t="str">
        <f>'單價分析表'!H587</f>
        <v>支</v>
      </c>
      <c r="D54" s="385">
        <f>'數量計算'!E201</f>
        <v>66</v>
      </c>
      <c r="E54" s="720">
        <f>'單價分析表'!G602</f>
        <v>250</v>
      </c>
      <c r="F54" s="199">
        <f t="shared" si="0"/>
        <v>16500</v>
      </c>
      <c r="G54" s="41" t="s">
        <v>1323</v>
      </c>
    </row>
    <row r="55" spans="1:7" ht="24.75" customHeight="1" thickBot="1">
      <c r="A55" s="1352" t="str">
        <f>'單價分析表'!D609</f>
        <v>∮800mm混凝土管埋設 </v>
      </c>
      <c r="B55" s="1148"/>
      <c r="C55" s="734" t="str">
        <f>'單價分析表'!H609</f>
        <v>m</v>
      </c>
      <c r="D55" s="1149">
        <f>'數量計算'!E203</f>
        <v>13</v>
      </c>
      <c r="E55" s="1150">
        <f>'單價分析表'!G622</f>
        <v>11500</v>
      </c>
      <c r="F55" s="1151">
        <f t="shared" si="0"/>
        <v>149500</v>
      </c>
      <c r="G55" s="1152" t="s">
        <v>1324</v>
      </c>
    </row>
    <row r="56" spans="1:6" ht="24.75" customHeight="1">
      <c r="A56" s="196"/>
      <c r="B56" s="196"/>
      <c r="C56" s="196"/>
      <c r="D56" s="196"/>
      <c r="E56" s="196"/>
      <c r="F56" s="261"/>
    </row>
    <row r="57" spans="1:6" ht="24.75" customHeight="1">
      <c r="A57" s="196" t="s">
        <v>457</v>
      </c>
      <c r="B57" s="196"/>
      <c r="C57" s="196"/>
      <c r="D57" s="196"/>
      <c r="E57" s="196" t="s">
        <v>458</v>
      </c>
      <c r="F57" s="261"/>
    </row>
    <row r="58" spans="1:7" ht="24.75" customHeight="1">
      <c r="A58" s="1465" t="str">
        <f>A29</f>
        <v>經濟部水利署第十河川局</v>
      </c>
      <c r="B58" s="1465"/>
      <c r="C58" s="1465"/>
      <c r="D58" s="1465"/>
      <c r="E58" s="1465"/>
      <c r="F58" s="1465"/>
      <c r="G58" s="1465"/>
    </row>
    <row r="59" spans="1:7" ht="24.75" customHeight="1">
      <c r="A59" s="1465" t="s">
        <v>441</v>
      </c>
      <c r="B59" s="1465"/>
      <c r="C59" s="1465"/>
      <c r="D59" s="1465"/>
      <c r="E59" s="1465"/>
      <c r="F59" s="1465"/>
      <c r="G59" s="1465"/>
    </row>
    <row r="60" spans="1:7" ht="24.75" customHeight="1">
      <c r="A60" s="1483" t="str">
        <f>A31</f>
        <v>工程名稱:基隆河整體治理計劃（前期計劃）瑞芳區塊介壽橋下游左右岸護岸工程</v>
      </c>
      <c r="B60" s="1484"/>
      <c r="C60" s="1484"/>
      <c r="D60" s="1484"/>
      <c r="E60" s="1484"/>
      <c r="F60" s="1484"/>
      <c r="G60" s="253" t="s">
        <v>1268</v>
      </c>
    </row>
    <row r="61" spans="1:7" ht="24.75" customHeight="1" thickBot="1">
      <c r="A61" s="95" t="str">
        <f>A32</f>
        <v>施工地點：台北縣瑞芳鎮</v>
      </c>
      <c r="B61" s="95"/>
      <c r="C61" s="95"/>
      <c r="D61" s="31"/>
      <c r="E61" s="31"/>
      <c r="F61" s="251"/>
      <c r="G61" s="251" t="s">
        <v>195</v>
      </c>
    </row>
    <row r="62" spans="1:7" s="206" customFormat="1" ht="24.75" customHeight="1">
      <c r="A62" s="178" t="s">
        <v>442</v>
      </c>
      <c r="B62" s="179" t="s">
        <v>443</v>
      </c>
      <c r="C62" s="179" t="s">
        <v>439</v>
      </c>
      <c r="D62" s="179" t="s">
        <v>440</v>
      </c>
      <c r="E62" s="179" t="s">
        <v>444</v>
      </c>
      <c r="F62" s="179" t="s">
        <v>445</v>
      </c>
      <c r="G62" s="83" t="s">
        <v>446</v>
      </c>
    </row>
    <row r="63" spans="1:7" s="32" customFormat="1" ht="24.75" customHeight="1">
      <c r="A63" s="1466" t="s">
        <v>1254</v>
      </c>
      <c r="B63" s="1467"/>
      <c r="C63" s="1467"/>
      <c r="D63" s="1467"/>
      <c r="E63" s="1467"/>
      <c r="F63" s="1467"/>
      <c r="G63" s="1468"/>
    </row>
    <row r="64" spans="1:7" ht="24.75" customHeight="1">
      <c r="A64" s="1221" t="str">
        <f>'單價分析表'!D623</f>
        <v>漿砌塊石φ平均20CM</v>
      </c>
      <c r="B64" s="240"/>
      <c r="C64" s="279" t="str">
        <f>'單價分析表'!H623</f>
        <v>m</v>
      </c>
      <c r="D64" s="385">
        <f>'數量計算'!E211</f>
        <v>55</v>
      </c>
      <c r="E64" s="720">
        <f>'單價分析表'!G634</f>
        <v>780</v>
      </c>
      <c r="F64" s="199">
        <f t="shared" si="0"/>
        <v>42900</v>
      </c>
      <c r="G64" s="41" t="s">
        <v>1325</v>
      </c>
    </row>
    <row r="65" spans="1:7" ht="24.75" customHeight="1">
      <c r="A65" s="1221" t="str">
        <f>'單價分析表'!D641</f>
        <v>鑄鐵止滑條</v>
      </c>
      <c r="B65" s="240"/>
      <c r="C65" s="279" t="str">
        <f>'單價分析表'!H641</f>
        <v>M</v>
      </c>
      <c r="D65" s="385">
        <f>'數量計算'!E213</f>
        <v>61</v>
      </c>
      <c r="E65" s="720">
        <f>'單價分析表'!G651</f>
        <v>300</v>
      </c>
      <c r="F65" s="199">
        <f t="shared" si="0"/>
        <v>18300</v>
      </c>
      <c r="G65" s="41" t="s">
        <v>1326</v>
      </c>
    </row>
    <row r="66" spans="1:7" ht="24.75" customHeight="1">
      <c r="A66" s="1221" t="str">
        <f>'單價分析表'!D652</f>
        <v>箱涵伸縮縫</v>
      </c>
      <c r="B66" s="240"/>
      <c r="C66" s="279" t="str">
        <f>'單價分析表'!H652</f>
        <v>處</v>
      </c>
      <c r="D66" s="385">
        <f>'數量計算'!E215</f>
        <v>30</v>
      </c>
      <c r="E66" s="720">
        <f>'單價分析表'!G665</f>
        <v>7920</v>
      </c>
      <c r="F66" s="199">
        <f t="shared" si="0"/>
        <v>237600</v>
      </c>
      <c r="G66" s="41" t="s">
        <v>1327</v>
      </c>
    </row>
    <row r="67" spans="1:7" ht="24.75" customHeight="1">
      <c r="A67" s="1221" t="str">
        <f>'單價分析表'!D672</f>
        <v> U型側溝（1M×1M）伸縮縫</v>
      </c>
      <c r="B67" s="240"/>
      <c r="C67" s="279" t="str">
        <f>'單價分析表'!H672</f>
        <v>處</v>
      </c>
      <c r="D67" s="385">
        <f>'數量計算'!E217</f>
        <v>36</v>
      </c>
      <c r="E67" s="720">
        <f>'單價分析表'!G684</f>
        <v>1300</v>
      </c>
      <c r="F67" s="199">
        <f t="shared" si="0"/>
        <v>46800</v>
      </c>
      <c r="G67" s="41" t="s">
        <v>1328</v>
      </c>
    </row>
    <row r="68" spans="1:7" ht="24.75" customHeight="1">
      <c r="A68" s="1221" t="str">
        <f>'單價分析表'!D685</f>
        <v> U型側溝（0.8M×1M）伸縮縫</v>
      </c>
      <c r="B68" s="240"/>
      <c r="C68" s="279" t="str">
        <f>'單價分析表'!H685</f>
        <v>處</v>
      </c>
      <c r="D68" s="385">
        <f>'數量計算'!E219</f>
        <v>22</v>
      </c>
      <c r="E68" s="720">
        <f>'單價分析表'!G696</f>
        <v>1170</v>
      </c>
      <c r="F68" s="199">
        <f t="shared" si="0"/>
        <v>25740</v>
      </c>
      <c r="G68" s="41" t="s">
        <v>1329</v>
      </c>
    </row>
    <row r="69" spans="1:7" ht="24.75" customHeight="1">
      <c r="A69" s="1221" t="str">
        <f>'數量計算'!B221</f>
        <v>植生槽</v>
      </c>
      <c r="B69" s="240"/>
      <c r="C69" s="279" t="str">
        <f>'數量計算'!C221</f>
        <v>m</v>
      </c>
      <c r="D69" s="385">
        <f>'數量計算'!E221</f>
        <v>408</v>
      </c>
      <c r="E69" s="720">
        <f>'單價分析表'!G962</f>
        <v>400</v>
      </c>
      <c r="F69" s="199">
        <f t="shared" si="0"/>
        <v>163200</v>
      </c>
      <c r="G69" s="41" t="s">
        <v>63</v>
      </c>
    </row>
    <row r="70" spans="1:7" ht="24.75" customHeight="1">
      <c r="A70" s="1221" t="str">
        <f>'數量計算'!B223</f>
        <v>台灣巒樹</v>
      </c>
      <c r="B70" s="240"/>
      <c r="C70" s="279" t="str">
        <f>'數量計算'!C223</f>
        <v>株</v>
      </c>
      <c r="D70" s="385">
        <f>'數量計算'!E223</f>
        <v>166</v>
      </c>
      <c r="E70" s="720">
        <f>'單價分析表'!G975</f>
        <v>2600</v>
      </c>
      <c r="F70" s="199">
        <f t="shared" si="0"/>
        <v>431600</v>
      </c>
      <c r="G70" s="41" t="s">
        <v>64</v>
      </c>
    </row>
    <row r="71" spans="1:7" ht="24.75" customHeight="1">
      <c r="A71" s="1221" t="str">
        <f>'數量計算'!B225</f>
        <v>高壓彩色連鎖地磚</v>
      </c>
      <c r="B71" s="240"/>
      <c r="C71" s="279" t="str">
        <f>'數量計算'!C225</f>
        <v>M2</v>
      </c>
      <c r="D71" s="385">
        <f>'數量計算'!E225</f>
        <v>408</v>
      </c>
      <c r="E71" s="720">
        <f>'單價分析表'!G995</f>
        <v>790</v>
      </c>
      <c r="F71" s="199">
        <f t="shared" si="0"/>
        <v>322320</v>
      </c>
      <c r="G71" s="41" t="s">
        <v>65</v>
      </c>
    </row>
    <row r="72" spans="1:7" ht="24.75" customHeight="1">
      <c r="A72" s="1221" t="s">
        <v>187</v>
      </c>
      <c r="B72" s="240" t="s">
        <v>201</v>
      </c>
      <c r="C72" s="1396" t="s">
        <v>199</v>
      </c>
      <c r="D72" s="385">
        <v>1</v>
      </c>
      <c r="E72" s="1147" t="s">
        <v>200</v>
      </c>
      <c r="F72" s="199">
        <v>50000</v>
      </c>
      <c r="G72" s="41"/>
    </row>
    <row r="73" spans="1:7" ht="24.75" customHeight="1">
      <c r="A73" s="241" t="s">
        <v>852</v>
      </c>
      <c r="B73" s="240"/>
      <c r="C73" s="279"/>
      <c r="D73" s="385"/>
      <c r="E73" s="720"/>
      <c r="F73" s="199">
        <f>SUM(F7:F26)+SUM(F35:F55)+SUM(F64:F72)</f>
        <v>133090784</v>
      </c>
      <c r="G73" s="41"/>
    </row>
    <row r="74" spans="1:7" ht="24.75" customHeight="1">
      <c r="A74" s="1221"/>
      <c r="B74" s="240"/>
      <c r="C74" s="279"/>
      <c r="D74" s="385"/>
      <c r="E74" s="720"/>
      <c r="F74" s="199"/>
      <c r="G74" s="41"/>
    </row>
    <row r="75" spans="1:7" ht="24.75" customHeight="1">
      <c r="A75" s="1221"/>
      <c r="B75" s="240"/>
      <c r="C75" s="279"/>
      <c r="D75" s="385"/>
      <c r="E75" s="720"/>
      <c r="F75" s="199"/>
      <c r="G75" s="41"/>
    </row>
    <row r="76" spans="1:7" ht="24.75" customHeight="1">
      <c r="A76" s="1221"/>
      <c r="B76" s="240"/>
      <c r="C76" s="279"/>
      <c r="D76" s="385"/>
      <c r="E76" s="720"/>
      <c r="F76" s="199"/>
      <c r="G76" s="41"/>
    </row>
    <row r="77" spans="1:7" ht="24.75" customHeight="1">
      <c r="A77" s="1221"/>
      <c r="B77" s="240"/>
      <c r="C77" s="279"/>
      <c r="D77" s="1350"/>
      <c r="E77" s="1147"/>
      <c r="F77" s="199"/>
      <c r="G77" s="41"/>
    </row>
    <row r="78" spans="1:7" ht="24.75" customHeight="1">
      <c r="A78" s="1221"/>
      <c r="B78" s="240"/>
      <c r="C78" s="279"/>
      <c r="D78" s="385"/>
      <c r="E78" s="1147"/>
      <c r="F78" s="199"/>
      <c r="G78" s="41"/>
    </row>
    <row r="79" spans="1:7" ht="24.75" customHeight="1">
      <c r="A79" s="1221"/>
      <c r="B79" s="240"/>
      <c r="C79" s="279"/>
      <c r="D79" s="385"/>
      <c r="E79" s="1147"/>
      <c r="F79" s="199"/>
      <c r="G79" s="41"/>
    </row>
    <row r="80" spans="1:7" ht="24.75" customHeight="1">
      <c r="A80" s="1221"/>
      <c r="B80" s="240"/>
      <c r="C80" s="279"/>
      <c r="D80" s="385"/>
      <c r="E80" s="1147"/>
      <c r="F80" s="199"/>
      <c r="G80" s="41"/>
    </row>
    <row r="81" spans="1:7" ht="24.75" customHeight="1">
      <c r="A81" s="1221"/>
      <c r="B81" s="240"/>
      <c r="C81" s="279"/>
      <c r="D81" s="385"/>
      <c r="E81" s="1147"/>
      <c r="F81" s="199"/>
      <c r="G81" s="41"/>
    </row>
    <row r="82" spans="1:7" ht="24.75" customHeight="1">
      <c r="A82" s="1221"/>
      <c r="B82" s="240"/>
      <c r="C82" s="279"/>
      <c r="D82" s="385"/>
      <c r="E82" s="1147"/>
      <c r="F82" s="199"/>
      <c r="G82" s="41"/>
    </row>
    <row r="83" spans="1:7" ht="24.75" customHeight="1">
      <c r="A83" s="241"/>
      <c r="B83" s="736"/>
      <c r="C83" s="240"/>
      <c r="D83" s="234"/>
      <c r="E83" s="720"/>
      <c r="F83" s="720"/>
      <c r="G83" s="41"/>
    </row>
    <row r="84" spans="1:7" ht="24.75" customHeight="1" thickBot="1">
      <c r="A84" s="883"/>
      <c r="B84" s="884"/>
      <c r="C84" s="884"/>
      <c r="D84" s="884"/>
      <c r="E84" s="884"/>
      <c r="F84" s="884"/>
      <c r="G84" s="885"/>
    </row>
    <row r="85" spans="1:6" ht="24.75" customHeight="1">
      <c r="A85" s="196"/>
      <c r="B85" s="196"/>
      <c r="C85" s="196"/>
      <c r="D85" s="196"/>
      <c r="E85" s="196"/>
      <c r="F85" s="261"/>
    </row>
    <row r="86" spans="1:6" ht="24.75" customHeight="1">
      <c r="A86" s="196" t="s">
        <v>457</v>
      </c>
      <c r="B86" s="196"/>
      <c r="C86" s="196"/>
      <c r="D86" s="196"/>
      <c r="E86" s="196" t="s">
        <v>458</v>
      </c>
      <c r="F86" s="261"/>
    </row>
    <row r="87" ht="21.75" customHeight="1"/>
    <row r="88" ht="21.75" customHeight="1"/>
    <row r="89" ht="21.75" customHeight="1"/>
    <row r="90" ht="21.75" customHeight="1"/>
  </sheetData>
  <mergeCells count="12">
    <mergeCell ref="A58:G58"/>
    <mergeCell ref="A59:G59"/>
    <mergeCell ref="A60:F60"/>
    <mergeCell ref="A63:G63"/>
    <mergeCell ref="A29:G29"/>
    <mergeCell ref="A30:G30"/>
    <mergeCell ref="A31:F31"/>
    <mergeCell ref="A34:G34"/>
    <mergeCell ref="A3:F3"/>
    <mergeCell ref="A1:G1"/>
    <mergeCell ref="A2:G2"/>
    <mergeCell ref="A6:G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workbookViewId="0" topLeftCell="A31">
      <selection activeCell="G5" sqref="G5"/>
    </sheetView>
  </sheetViews>
  <sheetFormatPr defaultColWidth="9.00390625" defaultRowHeight="16.5"/>
  <cols>
    <col min="1" max="1" width="22.75390625" style="0" customWidth="1"/>
    <col min="2" max="2" width="13.75390625" style="0" customWidth="1"/>
    <col min="3" max="3" width="5.75390625" style="0" customWidth="1"/>
    <col min="4" max="4" width="8.50390625" style="0" customWidth="1"/>
    <col min="5" max="5" width="9.75390625" style="0" customWidth="1"/>
    <col min="6" max="6" width="12.75390625" style="0" customWidth="1"/>
    <col min="7" max="7" width="11.75390625" style="0" customWidth="1"/>
  </cols>
  <sheetData>
    <row r="1" spans="1:7" s="29" customFormat="1" ht="24.75" customHeight="1">
      <c r="A1" s="1465" t="str">
        <f>'預算書總表'!A1</f>
        <v>經濟部水利署第十河川局</v>
      </c>
      <c r="B1" s="1465"/>
      <c r="C1" s="1465"/>
      <c r="D1" s="1465"/>
      <c r="E1" s="1465"/>
      <c r="F1" s="1465"/>
      <c r="G1" s="1465"/>
    </row>
    <row r="2" spans="1:7" s="29" customFormat="1" ht="24.75" customHeight="1">
      <c r="A2" s="1465" t="s">
        <v>441</v>
      </c>
      <c r="B2" s="1465"/>
      <c r="C2" s="1465"/>
      <c r="D2" s="1465"/>
      <c r="E2" s="1465"/>
      <c r="F2" s="1465"/>
      <c r="G2" s="1465"/>
    </row>
    <row r="3" spans="1:7" s="29" customFormat="1" ht="24.75" customHeight="1">
      <c r="A3" s="1483" t="str">
        <f>data!F1</f>
        <v>工程名稱:基隆河整體治理計劃（前期計劃）瑞芳區塊介壽橋下游左右岸護岸工程</v>
      </c>
      <c r="B3" s="1483"/>
      <c r="C3" s="1483"/>
      <c r="D3" s="1483"/>
      <c r="E3" s="1483"/>
      <c r="F3" s="1483"/>
      <c r="G3" s="253" t="s">
        <v>1268</v>
      </c>
    </row>
    <row r="4" spans="1:7" s="29" customFormat="1" ht="24.75" customHeight="1" thickBot="1">
      <c r="A4" s="95" t="str">
        <f>'預算書總表'!A4</f>
        <v>施工地點：台北縣瑞芳鎮</v>
      </c>
      <c r="B4" s="95"/>
      <c r="C4" s="95"/>
      <c r="D4" s="31"/>
      <c r="E4" s="31"/>
      <c r="F4" s="251"/>
      <c r="G4" s="251" t="s">
        <v>194</v>
      </c>
    </row>
    <row r="5" spans="1:7" s="206" customFormat="1" ht="24.75" customHeight="1">
      <c r="A5" s="178" t="s">
        <v>442</v>
      </c>
      <c r="B5" s="179" t="s">
        <v>443</v>
      </c>
      <c r="C5" s="179" t="s">
        <v>439</v>
      </c>
      <c r="D5" s="179" t="s">
        <v>440</v>
      </c>
      <c r="E5" s="179" t="s">
        <v>444</v>
      </c>
      <c r="F5" s="179" t="s">
        <v>445</v>
      </c>
      <c r="G5" s="83" t="s">
        <v>446</v>
      </c>
    </row>
    <row r="6" spans="1:7" s="32" customFormat="1" ht="24.75" customHeight="1">
      <c r="A6" s="1472" t="s">
        <v>306</v>
      </c>
      <c r="B6" s="1473"/>
      <c r="C6" s="1473"/>
      <c r="D6" s="1473"/>
      <c r="E6" s="1473"/>
      <c r="F6" s="1473"/>
      <c r="G6" s="1474"/>
    </row>
    <row r="7" spans="1:7" s="32" customFormat="1" ht="24.75" customHeight="1">
      <c r="A7" s="386" t="str">
        <f>'數量計算'!B240</f>
        <v>純挖方</v>
      </c>
      <c r="B7" s="518"/>
      <c r="C7" s="279" t="str">
        <f>'數量計算'!C240</f>
        <v>m3</v>
      </c>
      <c r="D7" s="1373">
        <f>'數量計算'!E240</f>
        <v>545</v>
      </c>
      <c r="E7" s="199">
        <f>'第一號明細表'!E7</f>
        <v>32</v>
      </c>
      <c r="F7" s="199">
        <f>D7*E7</f>
        <v>17440</v>
      </c>
      <c r="G7" s="1386" t="str">
        <f>'第一號明細表'!G7</f>
        <v>基本單價2</v>
      </c>
    </row>
    <row r="8" spans="1:7" s="32" customFormat="1" ht="24.75" customHeight="1">
      <c r="A8" s="386" t="str">
        <f>'數量計算'!B242</f>
        <v>回填方</v>
      </c>
      <c r="B8" s="518"/>
      <c r="C8" s="279" t="str">
        <f>'數量計算'!C242</f>
        <v>m3</v>
      </c>
      <c r="D8" s="1373">
        <f>'數量計算'!E242</f>
        <v>969</v>
      </c>
      <c r="E8" s="199">
        <f>'第一號明細表'!E8</f>
        <v>32</v>
      </c>
      <c r="F8" s="199">
        <f aca="true" t="shared" si="0" ref="F8:F39">D8*E8</f>
        <v>31008</v>
      </c>
      <c r="G8" s="1386" t="str">
        <f>'第一號明細表'!G8</f>
        <v>基本單價3</v>
      </c>
    </row>
    <row r="9" spans="1:7" s="32" customFormat="1" ht="24.75" customHeight="1">
      <c r="A9" s="387" t="str">
        <f>'數量計算'!B244</f>
        <v>工區內土方平衡處理</v>
      </c>
      <c r="B9" s="402"/>
      <c r="C9" s="279" t="str">
        <f>'數量計算'!C244</f>
        <v>m3</v>
      </c>
      <c r="D9" s="1373">
        <f>'數量計算'!E244</f>
        <v>545</v>
      </c>
      <c r="E9" s="199">
        <f>'第一號明細表'!E11</f>
        <v>33</v>
      </c>
      <c r="F9" s="199">
        <f t="shared" si="0"/>
        <v>17985</v>
      </c>
      <c r="G9" s="1386" t="str">
        <f>'第一號明細表'!G11</f>
        <v>基本單價6</v>
      </c>
    </row>
    <row r="10" spans="1:7" s="32" customFormat="1" ht="24.75" customHeight="1">
      <c r="A10" s="387" t="str">
        <f>'數量計算'!B246</f>
        <v>210kgf/cm^2預拌混凝土   'G≦1",S=4"</v>
      </c>
      <c r="B10" s="402"/>
      <c r="C10" s="279" t="str">
        <f>'數量計算'!C246</f>
        <v>m3</v>
      </c>
      <c r="D10" s="1373">
        <f>'數量計算'!E246</f>
        <v>676</v>
      </c>
      <c r="E10" s="199">
        <f>'第一號明細表'!E12</f>
        <v>1910</v>
      </c>
      <c r="F10" s="199">
        <f t="shared" si="0"/>
        <v>1291160</v>
      </c>
      <c r="G10" s="1386" t="str">
        <f>'第一號明細表'!G12</f>
        <v>1號單價分析表</v>
      </c>
    </row>
    <row r="11" spans="1:7" s="32" customFormat="1" ht="24.75" customHeight="1">
      <c r="A11" s="387" t="str">
        <f>'數量計算'!B250</f>
        <v>140kgf/cm^2預拌混凝土 'G≦1",S=4"</v>
      </c>
      <c r="B11" s="402"/>
      <c r="C11" s="279" t="str">
        <f>'數量計算'!C250</f>
        <v>m3</v>
      </c>
      <c r="D11" s="1373">
        <f>'數量計算'!E250</f>
        <v>16.25</v>
      </c>
      <c r="E11" s="199">
        <f>'第一號明細表'!E13</f>
        <v>1810</v>
      </c>
      <c r="F11" s="199">
        <f t="shared" si="0"/>
        <v>29413</v>
      </c>
      <c r="G11" s="1386" t="str">
        <f>'第一號明細表'!G13</f>
        <v>2號單價分析表</v>
      </c>
    </row>
    <row r="12" spans="1:7" s="32" customFormat="1" ht="24.75" customHeight="1">
      <c r="A12" s="387" t="str">
        <f>'數量計算'!B252</f>
        <v>甲種模型損耗</v>
      </c>
      <c r="B12" s="402"/>
      <c r="C12" s="279" t="str">
        <f>'數量計算'!C252</f>
        <v>m2</v>
      </c>
      <c r="D12" s="1373">
        <f>'數量計算'!E252</f>
        <v>674</v>
      </c>
      <c r="E12" s="199">
        <f>'第一號明細表'!E14</f>
        <v>380</v>
      </c>
      <c r="F12" s="199">
        <f t="shared" si="0"/>
        <v>256120</v>
      </c>
      <c r="G12" s="1386" t="str">
        <f>'第一號明細表'!G14</f>
        <v>4號單價分析表</v>
      </c>
    </row>
    <row r="13" spans="1:7" s="32" customFormat="1" ht="24.75" customHeight="1">
      <c r="A13" s="387" t="str">
        <f>'數量計算'!B255</f>
        <v>乙種模型損耗(基礎用)</v>
      </c>
      <c r="B13" s="402"/>
      <c r="C13" s="279" t="str">
        <f>'數量計算'!C255</f>
        <v>m2</v>
      </c>
      <c r="D13" s="1373">
        <f>'數量計算'!E255</f>
        <v>306</v>
      </c>
      <c r="E13" s="199">
        <f>'第一號明細表'!E15</f>
        <v>270</v>
      </c>
      <c r="F13" s="199">
        <f t="shared" si="0"/>
        <v>82620</v>
      </c>
      <c r="G13" s="1386" t="str">
        <f>'第一號明細表'!G15</f>
        <v>5號單價分析表</v>
      </c>
    </row>
    <row r="14" spans="1:7" s="32" customFormat="1" ht="24.75" customHeight="1">
      <c r="A14" s="387" t="str">
        <f>'數量計算'!B257</f>
        <v>鋼筋及加工組立</v>
      </c>
      <c r="B14" s="402"/>
      <c r="C14" s="279" t="str">
        <f>'數量計算'!C257</f>
        <v>噸</v>
      </c>
      <c r="D14" s="1373">
        <f>'數量計算'!E257</f>
        <v>68</v>
      </c>
      <c r="E14" s="199">
        <f>'第一號明細表'!E17</f>
        <v>18000</v>
      </c>
      <c r="F14" s="199">
        <f t="shared" si="0"/>
        <v>1224000</v>
      </c>
      <c r="G14" s="1386" t="str">
        <f>'第一號明細表'!G17</f>
        <v>8號單價分析表</v>
      </c>
    </row>
    <row r="15" spans="1:7" s="29" customFormat="1" ht="24.75" customHeight="1">
      <c r="A15" s="387" t="str">
        <f>'數量計算'!B261</f>
        <v>鋼模損耗及折舊</v>
      </c>
      <c r="B15" s="402"/>
      <c r="C15" s="279" t="str">
        <f>'數量計算'!C261</f>
        <v>m2</v>
      </c>
      <c r="D15" s="1373">
        <f>'數量計算'!E261</f>
        <v>581</v>
      </c>
      <c r="E15" s="199">
        <f>'第一號明細表'!E18</f>
        <v>500</v>
      </c>
      <c r="F15" s="199">
        <f t="shared" si="0"/>
        <v>290500</v>
      </c>
      <c r="G15" s="1387" t="str">
        <f>'第一號明細表'!G18</f>
        <v>9號單價分析表</v>
      </c>
    </row>
    <row r="16" spans="1:7" s="29" customFormat="1" ht="24.75" customHeight="1">
      <c r="A16" s="387" t="str">
        <f>'單價分析表'!D163</f>
        <v>橡膠止水帶（9mmx220mm）</v>
      </c>
      <c r="B16" s="402"/>
      <c r="C16" s="279" t="str">
        <f>'單價分析表'!H163</f>
        <v>M</v>
      </c>
      <c r="D16" s="1373">
        <f>'數量計算'!E272</f>
        <v>15.2</v>
      </c>
      <c r="E16" s="199">
        <f>'單價分析表'!G173</f>
        <v>280</v>
      </c>
      <c r="F16" s="199">
        <f t="shared" si="0"/>
        <v>4256</v>
      </c>
      <c r="G16" s="41" t="s">
        <v>109</v>
      </c>
    </row>
    <row r="17" spans="1:7" s="29" customFormat="1" ht="24.75" customHeight="1">
      <c r="A17" s="387" t="str">
        <f>'數量計算'!B270</f>
        <v>直徑3"洩水管</v>
      </c>
      <c r="B17" s="402"/>
      <c r="C17" s="279" t="str">
        <f>'數量計算'!C270</f>
        <v>支</v>
      </c>
      <c r="D17" s="1373">
        <f>'數量計算'!E270</f>
        <v>39</v>
      </c>
      <c r="E17" s="199">
        <f>'第一號明細表'!E20</f>
        <v>300</v>
      </c>
      <c r="F17" s="199">
        <f t="shared" si="0"/>
        <v>11700</v>
      </c>
      <c r="G17" s="1387" t="str">
        <f>'第一號明細表'!G20</f>
        <v>12號單價分析表</v>
      </c>
    </row>
    <row r="18" spans="1:7" s="29" customFormat="1" ht="24.75" customHeight="1">
      <c r="A18" s="387" t="str">
        <f>'數量計算'!B274</f>
        <v>舖設黏層(150℃  AC)</v>
      </c>
      <c r="B18" s="402"/>
      <c r="C18" s="279" t="str">
        <f>'數量計算'!C274</f>
        <v>m2</v>
      </c>
      <c r="D18" s="1373">
        <f>'數量計算'!E274</f>
        <v>13</v>
      </c>
      <c r="E18" s="199">
        <f>'第一號明細表'!E45</f>
        <v>13</v>
      </c>
      <c r="F18" s="199">
        <f t="shared" si="0"/>
        <v>169</v>
      </c>
      <c r="G18" s="1387" t="str">
        <f>'第一號明細表'!G45</f>
        <v>29號單價分析表</v>
      </c>
    </row>
    <row r="19" spans="1:7" s="29" customFormat="1" ht="24.75" customHeight="1">
      <c r="A19" s="387" t="str">
        <f>'數量計算'!B276</f>
        <v>瀝青混凝土面層</v>
      </c>
      <c r="B19" s="402"/>
      <c r="C19" s="279" t="str">
        <f>'數量計算'!C276</f>
        <v>m2</v>
      </c>
      <c r="D19" s="1373">
        <f>'數量計算'!E276</f>
        <v>13</v>
      </c>
      <c r="E19" s="199">
        <f>'第一號明細表'!E46</f>
        <v>462</v>
      </c>
      <c r="F19" s="199">
        <f t="shared" si="0"/>
        <v>6006</v>
      </c>
      <c r="G19" s="1387" t="str">
        <f>'第一號明細表'!G46</f>
        <v>30號單價分析表</v>
      </c>
    </row>
    <row r="20" spans="1:7" s="29" customFormat="1" ht="24.75" customHeight="1">
      <c r="A20" s="387" t="str">
        <f>'數量計算'!B278</f>
        <v>仿木欄杆</v>
      </c>
      <c r="B20" s="402"/>
      <c r="C20" s="279" t="str">
        <f>'數量計算'!C278</f>
        <v>組</v>
      </c>
      <c r="D20" s="1373">
        <f>'數量計算'!E278</f>
        <v>53.5</v>
      </c>
      <c r="E20" s="199">
        <f>'第一號明細表'!E48</f>
        <v>6000</v>
      </c>
      <c r="F20" s="199">
        <f t="shared" si="0"/>
        <v>321000</v>
      </c>
      <c r="G20" s="1387" t="str">
        <f>'第一號明細表'!G48</f>
        <v>32號單價分析表</v>
      </c>
    </row>
    <row r="21" spans="1:7" s="29" customFormat="1" ht="24.75" customHeight="1">
      <c r="A21" s="387" t="str">
        <f>'數量計算'!B280</f>
        <v>7.5cmφ套管及清洗灌漿</v>
      </c>
      <c r="B21" s="402"/>
      <c r="C21" s="279" t="str">
        <f>'數量計算'!C280</f>
        <v>M</v>
      </c>
      <c r="D21" s="1373">
        <f>'數量計算'!E280</f>
        <v>348.75</v>
      </c>
      <c r="E21" s="199">
        <f>'單價分析表'!G715</f>
        <v>227</v>
      </c>
      <c r="F21" s="199">
        <f t="shared" si="0"/>
        <v>79166</v>
      </c>
      <c r="G21" s="41" t="s">
        <v>110</v>
      </c>
    </row>
    <row r="22" spans="1:7" s="29" customFormat="1" ht="24.75" customHeight="1">
      <c r="A22" s="387" t="str">
        <f>'數量計算'!B282</f>
        <v>12-7cmφ鋼腱安裝及施預力</v>
      </c>
      <c r="B22" s="402"/>
      <c r="C22" s="279" t="str">
        <f>'數量計算'!C282</f>
        <v> T</v>
      </c>
      <c r="D22" s="1373">
        <f>'數量計算'!E282</f>
        <v>3.43</v>
      </c>
      <c r="E22" s="199">
        <f>'單價分析表'!G727</f>
        <v>66880</v>
      </c>
      <c r="F22" s="199">
        <f t="shared" si="0"/>
        <v>229398</v>
      </c>
      <c r="G22" s="41" t="s">
        <v>297</v>
      </c>
    </row>
    <row r="23" spans="1:7" s="29" customFormat="1" ht="24.75" customHeight="1">
      <c r="A23" s="387" t="str">
        <f>'數量計算'!B284</f>
        <v>12-7cmφ鋼索錨錐及安裝</v>
      </c>
      <c r="B23" s="402"/>
      <c r="C23" s="279" t="str">
        <f>'數量計算'!C284</f>
        <v>組</v>
      </c>
      <c r="D23" s="1373">
        <f>'數量計算'!E284</f>
        <v>30</v>
      </c>
      <c r="E23" s="199">
        <f>'單價分析表'!G746</f>
        <v>7000</v>
      </c>
      <c r="F23" s="199">
        <f t="shared" si="0"/>
        <v>210000</v>
      </c>
      <c r="G23" s="41" t="s">
        <v>298</v>
      </c>
    </row>
    <row r="24" spans="1:7" s="29" customFormat="1" ht="24.75" customHeight="1">
      <c r="A24" s="387" t="str">
        <f>'數量計算'!B286</f>
        <v>預力梁吊運及安裝</v>
      </c>
      <c r="B24" s="402"/>
      <c r="C24" s="279" t="str">
        <f>'數量計算'!C286</f>
        <v>支</v>
      </c>
      <c r="D24" s="1373">
        <f>'數量計算'!E286</f>
        <v>5</v>
      </c>
      <c r="E24" s="199">
        <f>'單價分析表'!G758</f>
        <v>21740</v>
      </c>
      <c r="F24" s="199">
        <f t="shared" si="0"/>
        <v>108700</v>
      </c>
      <c r="G24" s="41" t="s">
        <v>299</v>
      </c>
    </row>
    <row r="25" spans="1:7" s="29" customFormat="1" ht="24.75" customHeight="1">
      <c r="A25" s="387" t="str">
        <f>'數量計算'!B288</f>
        <v>角鋼伸縮縫</v>
      </c>
      <c r="B25" s="402"/>
      <c r="C25" s="279" t="str">
        <f>'數量計算'!C288</f>
        <v>m</v>
      </c>
      <c r="D25" s="1373">
        <f>'數量計算'!E288</f>
        <v>23.8</v>
      </c>
      <c r="E25" s="199">
        <f>'單價分析表'!G777</f>
        <v>4220</v>
      </c>
      <c r="F25" s="199">
        <f t="shared" si="0"/>
        <v>100436</v>
      </c>
      <c r="G25" s="41" t="s">
        <v>300</v>
      </c>
    </row>
    <row r="26" spans="1:7" s="29" customFormat="1" ht="24.75" customHeight="1">
      <c r="A26" s="387" t="str">
        <f>'數量計算'!B290</f>
        <v>38mmφ防震拉條</v>
      </c>
      <c r="B26" s="402"/>
      <c r="C26" s="279" t="str">
        <f>'數量計算'!C290</f>
        <v> 支</v>
      </c>
      <c r="D26" s="1373">
        <f>'數量計算'!E290</f>
        <v>16</v>
      </c>
      <c r="E26" s="199">
        <f>'單價分析表'!G789</f>
        <v>6170</v>
      </c>
      <c r="F26" s="199">
        <f t="shared" si="0"/>
        <v>98720</v>
      </c>
      <c r="G26" s="41" t="s">
        <v>301</v>
      </c>
    </row>
    <row r="27" spans="1:7" s="29" customFormat="1" ht="24.75" customHeight="1" thickBot="1">
      <c r="A27" s="1384" t="str">
        <f>'數量計算'!B292</f>
        <v>高壓混凝土磚</v>
      </c>
      <c r="B27" s="1216"/>
      <c r="C27" s="734" t="str">
        <f>'數量計算'!C292</f>
        <v>m2</v>
      </c>
      <c r="D27" s="1385">
        <f>'數量計算'!E292</f>
        <v>69</v>
      </c>
      <c r="E27" s="1151">
        <f>'單價分析表'!G808</f>
        <v>815</v>
      </c>
      <c r="F27" s="1151">
        <f t="shared" si="0"/>
        <v>56235</v>
      </c>
      <c r="G27" s="1152" t="s">
        <v>302</v>
      </c>
    </row>
    <row r="28" spans="1:7" s="29" customFormat="1" ht="25.5" customHeight="1">
      <c r="A28" s="196"/>
      <c r="B28" s="196"/>
      <c r="C28" s="196"/>
      <c r="D28" s="196"/>
      <c r="E28" s="196"/>
      <c r="F28" s="261"/>
      <c r="G28" s="206"/>
    </row>
    <row r="29" spans="1:7" s="29" customFormat="1" ht="25.5" customHeight="1">
      <c r="A29" s="196" t="s">
        <v>457</v>
      </c>
      <c r="B29" s="196"/>
      <c r="C29" s="196"/>
      <c r="D29" s="196"/>
      <c r="E29" s="196" t="s">
        <v>458</v>
      </c>
      <c r="F29" s="261"/>
      <c r="G29" s="206"/>
    </row>
    <row r="30" spans="1:7" s="29" customFormat="1" ht="24.75" customHeight="1">
      <c r="A30" s="1465" t="str">
        <f>A1</f>
        <v>經濟部水利署第十河川局</v>
      </c>
      <c r="B30" s="1465"/>
      <c r="C30" s="1465"/>
      <c r="D30" s="1465"/>
      <c r="E30" s="1465"/>
      <c r="F30" s="1465"/>
      <c r="G30" s="1465"/>
    </row>
    <row r="31" spans="1:7" s="29" customFormat="1" ht="24.75" customHeight="1">
      <c r="A31" s="1465" t="str">
        <f>A2</f>
        <v>工  程  預  算  書</v>
      </c>
      <c r="B31" s="1465"/>
      <c r="C31" s="1465"/>
      <c r="D31" s="1465"/>
      <c r="E31" s="1465"/>
      <c r="F31" s="1465"/>
      <c r="G31" s="1465"/>
    </row>
    <row r="32" spans="1:7" s="29" customFormat="1" ht="24.75" customHeight="1">
      <c r="A32" s="1483" t="str">
        <f>A3</f>
        <v>工程名稱:基隆河整體治理計劃（前期計劃）瑞芳區塊介壽橋下游左右岸護岸工程</v>
      </c>
      <c r="B32" s="1483"/>
      <c r="C32" s="1483"/>
      <c r="D32" s="1483"/>
      <c r="E32" s="1483"/>
      <c r="F32" s="1483"/>
      <c r="G32" s="253" t="s">
        <v>1268</v>
      </c>
    </row>
    <row r="33" spans="1:7" s="29" customFormat="1" ht="24.75" customHeight="1" thickBot="1">
      <c r="A33" s="95" t="str">
        <f>A4</f>
        <v>施工地點：台北縣瑞芳鎮</v>
      </c>
      <c r="B33" s="95"/>
      <c r="C33" s="95"/>
      <c r="D33" s="31"/>
      <c r="E33" s="31"/>
      <c r="F33" s="251"/>
      <c r="G33" s="251" t="s">
        <v>193</v>
      </c>
    </row>
    <row r="34" spans="1:7" s="206" customFormat="1" ht="24.75" customHeight="1">
      <c r="A34" s="178" t="s">
        <v>442</v>
      </c>
      <c r="B34" s="179" t="s">
        <v>443</v>
      </c>
      <c r="C34" s="179" t="s">
        <v>439</v>
      </c>
      <c r="D34" s="179" t="s">
        <v>440</v>
      </c>
      <c r="E34" s="179" t="s">
        <v>444</v>
      </c>
      <c r="F34" s="179" t="s">
        <v>445</v>
      </c>
      <c r="G34" s="83" t="s">
        <v>446</v>
      </c>
    </row>
    <row r="35" spans="1:7" s="32" customFormat="1" ht="24.75" customHeight="1">
      <c r="A35" s="1469" t="s">
        <v>306</v>
      </c>
      <c r="B35" s="1470"/>
      <c r="C35" s="1470"/>
      <c r="D35" s="1470"/>
      <c r="E35" s="1470"/>
      <c r="F35" s="1470"/>
      <c r="G35" s="1471"/>
    </row>
    <row r="36" spans="1:7" ht="24.75" customHeight="1">
      <c r="A36" s="387" t="str">
        <f>'數量計算'!B300</f>
        <v>填縫劑</v>
      </c>
      <c r="B36" s="402"/>
      <c r="C36" s="279" t="str">
        <f>'數量計算'!C300</f>
        <v>CM3</v>
      </c>
      <c r="D36" s="1373">
        <f>'數量計算'!E300</f>
        <v>12356</v>
      </c>
      <c r="E36" s="199">
        <f>'單價分析表'!G820</f>
        <v>10</v>
      </c>
      <c r="F36" s="199">
        <f t="shared" si="0"/>
        <v>123560</v>
      </c>
      <c r="G36" s="41" t="s">
        <v>303</v>
      </c>
    </row>
    <row r="37" spans="1:7" ht="24.75" customHeight="1">
      <c r="A37" s="387" t="str">
        <f>'數量計算'!B303</f>
        <v>填縫版</v>
      </c>
      <c r="B37" s="402"/>
      <c r="C37" s="279" t="str">
        <f>'數量計算'!C303</f>
        <v>M2</v>
      </c>
      <c r="D37" s="1373">
        <f>'數量計算'!E303</f>
        <v>17</v>
      </c>
      <c r="E37" s="199">
        <f>'單價分析表'!G839</f>
        <v>45</v>
      </c>
      <c r="F37" s="199">
        <f t="shared" si="0"/>
        <v>765</v>
      </c>
      <c r="G37" s="41" t="s">
        <v>304</v>
      </c>
    </row>
    <row r="38" spans="1:7" ht="24.75" customHeight="1">
      <c r="A38" s="387" t="str">
        <f>'數量計算'!B306</f>
        <v>350kg/cm^2預拌混凝土'G≦1",S=4"</v>
      </c>
      <c r="B38" s="402"/>
      <c r="C38" s="279" t="str">
        <f>'數量計算'!C306</f>
        <v>m3</v>
      </c>
      <c r="D38" s="1373">
        <f>'數量計算'!E306</f>
        <v>88</v>
      </c>
      <c r="E38" s="199">
        <f>'單價分析表'!G851</f>
        <v>2850</v>
      </c>
      <c r="F38" s="199">
        <f t="shared" si="0"/>
        <v>250800</v>
      </c>
      <c r="G38" s="41" t="s">
        <v>305</v>
      </c>
    </row>
    <row r="39" spans="1:7" ht="24.75" customHeight="1">
      <c r="A39" s="387" t="str">
        <f>'數量計算'!B309</f>
        <v>橡膠支承墊</v>
      </c>
      <c r="B39" s="402"/>
      <c r="C39" s="279" t="str">
        <f>'數量計算'!C309</f>
        <v>cm3</v>
      </c>
      <c r="D39" s="1373">
        <f>'數量計算'!E309</f>
        <v>68400</v>
      </c>
      <c r="E39" s="199">
        <f>'單價分析表'!G870</f>
        <v>1</v>
      </c>
      <c r="F39" s="199">
        <f t="shared" si="0"/>
        <v>68400</v>
      </c>
      <c r="G39" s="41" t="s">
        <v>124</v>
      </c>
    </row>
    <row r="40" spans="1:7" ht="24.75" customHeight="1">
      <c r="A40" s="241" t="s">
        <v>852</v>
      </c>
      <c r="B40" s="1372"/>
      <c r="C40" s="1372"/>
      <c r="D40" s="1372"/>
      <c r="E40" s="1372"/>
      <c r="F40" s="1376">
        <f>SUM(F7:F27)+SUM(F36:F39)</f>
        <v>4909557</v>
      </c>
      <c r="G40" s="1377"/>
    </row>
    <row r="41" spans="1:7" ht="24.75" customHeight="1">
      <c r="A41" s="1375"/>
      <c r="B41" s="1372"/>
      <c r="C41" s="1372"/>
      <c r="D41" s="1372"/>
      <c r="E41" s="1372"/>
      <c r="F41" s="1372"/>
      <c r="G41" s="1377"/>
    </row>
    <row r="42" spans="1:7" ht="24.75" customHeight="1">
      <c r="A42" s="1375"/>
      <c r="B42" s="1372"/>
      <c r="C42" s="1372"/>
      <c r="D42" s="1372"/>
      <c r="E42" s="1372"/>
      <c r="F42" s="1372"/>
      <c r="G42" s="1377"/>
    </row>
    <row r="43" spans="1:7" ht="24.75" customHeight="1">
      <c r="A43" s="1375"/>
      <c r="B43" s="1372"/>
      <c r="C43" s="1372"/>
      <c r="D43" s="1372"/>
      <c r="E43" s="1372"/>
      <c r="F43" s="1372"/>
      <c r="G43" s="1377"/>
    </row>
    <row r="44" spans="1:7" ht="24.75" customHeight="1">
      <c r="A44" s="1375"/>
      <c r="B44" s="1372"/>
      <c r="C44" s="1372"/>
      <c r="D44" s="1372"/>
      <c r="E44" s="1372"/>
      <c r="F44" s="1372"/>
      <c r="G44" s="1377"/>
    </row>
    <row r="45" spans="1:7" ht="24.75" customHeight="1">
      <c r="A45" s="1375"/>
      <c r="B45" s="1372"/>
      <c r="C45" s="1372"/>
      <c r="D45" s="1372"/>
      <c r="E45" s="1372"/>
      <c r="F45" s="1372"/>
      <c r="G45" s="1377"/>
    </row>
    <row r="46" spans="1:7" ht="24.75" customHeight="1">
      <c r="A46" s="1375"/>
      <c r="B46" s="1372"/>
      <c r="C46" s="1372"/>
      <c r="D46" s="1372"/>
      <c r="E46" s="1372"/>
      <c r="F46" s="1372"/>
      <c r="G46" s="1377"/>
    </row>
    <row r="47" spans="1:7" ht="24.75" customHeight="1">
      <c r="A47" s="1375"/>
      <c r="B47" s="1372"/>
      <c r="C47" s="1372"/>
      <c r="D47" s="1372"/>
      <c r="E47" s="1372"/>
      <c r="F47" s="1372"/>
      <c r="G47" s="1377"/>
    </row>
    <row r="48" spans="1:7" ht="24.75" customHeight="1">
      <c r="A48" s="1375"/>
      <c r="B48" s="1372"/>
      <c r="C48" s="1372"/>
      <c r="D48" s="1372"/>
      <c r="E48" s="1372"/>
      <c r="F48" s="1372"/>
      <c r="G48" s="1377"/>
    </row>
    <row r="49" spans="1:7" ht="24.75" customHeight="1">
      <c r="A49" s="1375"/>
      <c r="B49" s="1372"/>
      <c r="C49" s="1372"/>
      <c r="D49" s="1372"/>
      <c r="E49" s="1372"/>
      <c r="F49" s="1372"/>
      <c r="G49" s="1377"/>
    </row>
    <row r="50" spans="1:7" ht="24.75" customHeight="1">
      <c r="A50" s="1375"/>
      <c r="B50" s="1372"/>
      <c r="C50" s="1372"/>
      <c r="D50" s="1372"/>
      <c r="E50" s="1372"/>
      <c r="F50" s="1372"/>
      <c r="G50" s="1377"/>
    </row>
    <row r="51" spans="1:7" ht="24.75" customHeight="1">
      <c r="A51" s="1375"/>
      <c r="B51" s="1372"/>
      <c r="C51" s="1372"/>
      <c r="D51" s="1372"/>
      <c r="E51" s="1372"/>
      <c r="F51" s="1372"/>
      <c r="G51" s="1377"/>
    </row>
    <row r="52" spans="1:7" ht="24.75" customHeight="1">
      <c r="A52" s="1375"/>
      <c r="B52" s="1372"/>
      <c r="C52" s="1372"/>
      <c r="D52" s="1372"/>
      <c r="E52" s="1372"/>
      <c r="F52" s="1372"/>
      <c r="G52" s="1377"/>
    </row>
    <row r="53" spans="1:7" ht="24.75" customHeight="1">
      <c r="A53" s="1375"/>
      <c r="B53" s="1372"/>
      <c r="C53" s="1372"/>
      <c r="D53" s="1372"/>
      <c r="E53" s="1372"/>
      <c r="F53" s="1372"/>
      <c r="G53" s="1377"/>
    </row>
    <row r="54" spans="1:7" ht="24.75" customHeight="1">
      <c r="A54" s="1375"/>
      <c r="B54" s="1372"/>
      <c r="C54" s="1372"/>
      <c r="D54" s="1372"/>
      <c r="E54" s="1372"/>
      <c r="F54" s="1372"/>
      <c r="G54" s="1377"/>
    </row>
    <row r="55" spans="1:7" ht="24.75" customHeight="1">
      <c r="A55" s="1375"/>
      <c r="B55" s="1372"/>
      <c r="C55" s="1372"/>
      <c r="D55" s="1372"/>
      <c r="E55" s="1372"/>
      <c r="F55" s="1372"/>
      <c r="G55" s="1377"/>
    </row>
    <row r="56" spans="1:7" ht="24.75" customHeight="1" thickBot="1">
      <c r="A56" s="1378"/>
      <c r="B56" s="1379"/>
      <c r="C56" s="1379"/>
      <c r="D56" s="1379"/>
      <c r="E56" s="1379"/>
      <c r="F56" s="1379"/>
      <c r="G56" s="1380"/>
    </row>
    <row r="57" spans="1:7" s="29" customFormat="1" ht="25.5" customHeight="1">
      <c r="A57" s="196"/>
      <c r="B57" s="196"/>
      <c r="C57" s="196"/>
      <c r="D57" s="196"/>
      <c r="E57" s="196"/>
      <c r="F57" s="261"/>
      <c r="G57" s="206"/>
    </row>
    <row r="58" spans="1:7" s="29" customFormat="1" ht="25.5" customHeight="1">
      <c r="A58" s="196" t="s">
        <v>457</v>
      </c>
      <c r="B58" s="196"/>
      <c r="C58" s="196"/>
      <c r="D58" s="196"/>
      <c r="E58" s="196" t="s">
        <v>458</v>
      </c>
      <c r="F58" s="261"/>
      <c r="G58" s="206"/>
    </row>
  </sheetData>
  <mergeCells count="8">
    <mergeCell ref="A1:G1"/>
    <mergeCell ref="A2:G2"/>
    <mergeCell ref="A3:F3"/>
    <mergeCell ref="A6:G6"/>
    <mergeCell ref="A35:G35"/>
    <mergeCell ref="A30:G30"/>
    <mergeCell ref="A31:G31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showGridLines="0" view="pageBreakPreview" zoomScaleSheetLayoutView="100" workbookViewId="0" topLeftCell="A1">
      <selection activeCell="G5" sqref="G5"/>
    </sheetView>
  </sheetViews>
  <sheetFormatPr defaultColWidth="9.00390625" defaultRowHeight="22.5" customHeight="1"/>
  <cols>
    <col min="1" max="1" width="22.75390625" style="29" customWidth="1"/>
    <col min="2" max="2" width="12.75390625" style="29" customWidth="1"/>
    <col min="3" max="3" width="5.75390625" style="29" customWidth="1"/>
    <col min="4" max="4" width="7.75390625" style="29" customWidth="1"/>
    <col min="5" max="5" width="9.75390625" style="29" customWidth="1"/>
    <col min="6" max="6" width="12.75390625" style="29" customWidth="1"/>
    <col min="7" max="7" width="11.75390625" style="29" customWidth="1"/>
    <col min="8" max="16384" width="9.00390625" style="29" customWidth="1"/>
  </cols>
  <sheetData>
    <row r="1" spans="1:7" ht="24.75" customHeight="1">
      <c r="A1" s="30" t="str">
        <f>data!K1</f>
        <v>經濟部水利署第十河川局</v>
      </c>
      <c r="B1" s="28"/>
      <c r="C1" s="28"/>
      <c r="D1" s="28"/>
      <c r="E1" s="28"/>
      <c r="F1" s="28"/>
      <c r="G1" s="28"/>
    </row>
    <row r="2" spans="1:7" ht="24.75" customHeight="1">
      <c r="A2" s="225" t="s">
        <v>441</v>
      </c>
      <c r="B2" s="30"/>
      <c r="C2" s="30"/>
      <c r="D2" s="30"/>
      <c r="E2" s="30"/>
      <c r="F2" s="28"/>
      <c r="G2" s="28"/>
    </row>
    <row r="3" spans="1:7" ht="31.5" customHeight="1">
      <c r="A3" s="1483" t="str">
        <f>data!F1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ht="24.75" customHeight="1" thickBot="1">
      <c r="A4" s="1464" t="str">
        <f>data!C1</f>
        <v>施工地點：台北縣瑞芳鎮</v>
      </c>
      <c r="B4" s="1464"/>
      <c r="C4" s="1464"/>
      <c r="D4" s="85"/>
      <c r="E4" s="85"/>
      <c r="F4" s="85"/>
      <c r="G4" s="251" t="s">
        <v>192</v>
      </c>
    </row>
    <row r="5" spans="1:7" ht="24.75" customHeight="1">
      <c r="A5" s="297" t="s">
        <v>442</v>
      </c>
      <c r="B5" s="298" t="s">
        <v>443</v>
      </c>
      <c r="C5" s="298" t="s">
        <v>439</v>
      </c>
      <c r="D5" s="298" t="s">
        <v>440</v>
      </c>
      <c r="E5" s="298" t="s">
        <v>444</v>
      </c>
      <c r="F5" s="298" t="s">
        <v>445</v>
      </c>
      <c r="G5" s="299" t="s">
        <v>446</v>
      </c>
    </row>
    <row r="6" spans="1:7" ht="24.75" customHeight="1">
      <c r="A6" s="1469" t="s">
        <v>112</v>
      </c>
      <c r="B6" s="1475"/>
      <c r="C6" s="1475"/>
      <c r="D6" s="1475"/>
      <c r="E6" s="1475"/>
      <c r="F6" s="1475"/>
      <c r="G6" s="1476"/>
    </row>
    <row r="7" spans="1:7" ht="24.75" customHeight="1">
      <c r="A7" s="387" t="s">
        <v>594</v>
      </c>
      <c r="B7" s="708" t="s">
        <v>803</v>
      </c>
      <c r="C7" s="33" t="s">
        <v>561</v>
      </c>
      <c r="D7" s="234">
        <v>1</v>
      </c>
      <c r="E7" s="282" t="s">
        <v>562</v>
      </c>
      <c r="F7" s="283">
        <v>40000</v>
      </c>
      <c r="G7" s="197" t="s">
        <v>925</v>
      </c>
    </row>
    <row r="8" spans="1:7" ht="30" customHeight="1">
      <c r="A8" s="387" t="s">
        <v>596</v>
      </c>
      <c r="B8" s="1390" t="s">
        <v>169</v>
      </c>
      <c r="C8" s="33" t="s">
        <v>561</v>
      </c>
      <c r="D8" s="234">
        <v>1</v>
      </c>
      <c r="E8" s="282" t="s">
        <v>562</v>
      </c>
      <c r="F8" s="283">
        <v>1035000</v>
      </c>
      <c r="G8" s="197" t="s">
        <v>797</v>
      </c>
    </row>
    <row r="9" spans="1:7" ht="24.75" customHeight="1">
      <c r="A9" s="301" t="s">
        <v>412</v>
      </c>
      <c r="B9" s="235" t="s">
        <v>553</v>
      </c>
      <c r="C9" s="33" t="s">
        <v>561</v>
      </c>
      <c r="D9" s="234">
        <v>1</v>
      </c>
      <c r="E9" s="282" t="s">
        <v>562</v>
      </c>
      <c r="F9" s="283">
        <v>1050000</v>
      </c>
      <c r="G9" s="197" t="s">
        <v>798</v>
      </c>
    </row>
    <row r="10" spans="1:7" ht="24.75" customHeight="1">
      <c r="A10" s="301" t="s">
        <v>804</v>
      </c>
      <c r="B10" s="236"/>
      <c r="C10" s="33" t="s">
        <v>561</v>
      </c>
      <c r="D10" s="234">
        <v>1</v>
      </c>
      <c r="E10" s="282" t="s">
        <v>562</v>
      </c>
      <c r="F10" s="283">
        <v>270000</v>
      </c>
      <c r="G10" s="197" t="s">
        <v>799</v>
      </c>
    </row>
    <row r="11" spans="1:7" ht="30" customHeight="1">
      <c r="A11" s="301" t="s">
        <v>398</v>
      </c>
      <c r="B11" s="1391" t="s">
        <v>170</v>
      </c>
      <c r="C11" s="33" t="s">
        <v>561</v>
      </c>
      <c r="D11" s="234">
        <v>1</v>
      </c>
      <c r="E11" s="282" t="s">
        <v>562</v>
      </c>
      <c r="F11" s="283">
        <v>115000</v>
      </c>
      <c r="G11" s="197" t="s">
        <v>800</v>
      </c>
    </row>
    <row r="12" spans="1:7" ht="24.75" customHeight="1">
      <c r="A12" s="300" t="s">
        <v>805</v>
      </c>
      <c r="B12" s="503"/>
      <c r="C12" s="33" t="s">
        <v>561</v>
      </c>
      <c r="D12" s="234">
        <v>1</v>
      </c>
      <c r="E12" s="282" t="s">
        <v>562</v>
      </c>
      <c r="F12" s="283">
        <v>300000</v>
      </c>
      <c r="G12" s="197" t="s">
        <v>801</v>
      </c>
    </row>
    <row r="13" spans="1:7" ht="24.75" customHeight="1">
      <c r="A13" s="301" t="s">
        <v>595</v>
      </c>
      <c r="B13" s="302"/>
      <c r="C13" s="33" t="s">
        <v>561</v>
      </c>
      <c r="D13" s="234">
        <v>1</v>
      </c>
      <c r="E13" s="282" t="s">
        <v>562</v>
      </c>
      <c r="F13" s="283">
        <v>120000</v>
      </c>
      <c r="G13" s="197" t="s">
        <v>802</v>
      </c>
    </row>
    <row r="14" spans="1:7" ht="24.75" customHeight="1">
      <c r="A14" s="300" t="s">
        <v>875</v>
      </c>
      <c r="B14" s="302"/>
      <c r="C14" s="33" t="s">
        <v>561</v>
      </c>
      <c r="D14" s="234">
        <v>1</v>
      </c>
      <c r="E14" s="282" t="s">
        <v>562</v>
      </c>
      <c r="F14" s="283">
        <v>60000</v>
      </c>
      <c r="G14" s="197" t="s">
        <v>877</v>
      </c>
    </row>
    <row r="15" spans="1:7" ht="45" customHeight="1">
      <c r="A15" s="300" t="s">
        <v>876</v>
      </c>
      <c r="B15" s="1392" t="s">
        <v>171</v>
      </c>
      <c r="C15" s="809" t="s">
        <v>414</v>
      </c>
      <c r="D15" s="234">
        <v>1</v>
      </c>
      <c r="E15" s="282" t="s">
        <v>562</v>
      </c>
      <c r="F15" s="810">
        <v>100000</v>
      </c>
      <c r="G15" s="197" t="s">
        <v>926</v>
      </c>
    </row>
    <row r="16" spans="1:7" ht="24.75" customHeight="1">
      <c r="A16" s="301" t="s">
        <v>371</v>
      </c>
      <c r="B16" s="808"/>
      <c r="C16" s="809" t="s">
        <v>414</v>
      </c>
      <c r="D16" s="234">
        <v>1</v>
      </c>
      <c r="E16" s="282" t="s">
        <v>562</v>
      </c>
      <c r="F16" s="810">
        <v>402500</v>
      </c>
      <c r="G16" s="197" t="s">
        <v>376</v>
      </c>
    </row>
    <row r="17" spans="1:7" ht="24.75" customHeight="1">
      <c r="A17" s="300" t="s">
        <v>375</v>
      </c>
      <c r="B17" s="808"/>
      <c r="C17" s="809" t="s">
        <v>414</v>
      </c>
      <c r="D17" s="234">
        <v>1</v>
      </c>
      <c r="E17" s="282" t="s">
        <v>562</v>
      </c>
      <c r="F17" s="810">
        <v>396240</v>
      </c>
      <c r="G17" s="197" t="s">
        <v>377</v>
      </c>
    </row>
    <row r="18" spans="1:7" ht="24.75" customHeight="1">
      <c r="A18" s="300" t="s">
        <v>378</v>
      </c>
      <c r="B18" s="808"/>
      <c r="C18" s="809" t="s">
        <v>414</v>
      </c>
      <c r="D18" s="234">
        <v>1</v>
      </c>
      <c r="E18" s="282" t="s">
        <v>562</v>
      </c>
      <c r="F18" s="810">
        <v>1130000</v>
      </c>
      <c r="G18" s="197" t="s">
        <v>379</v>
      </c>
    </row>
    <row r="19" spans="1:7" ht="24.75" customHeight="1">
      <c r="A19" s="268" t="s">
        <v>705</v>
      </c>
      <c r="B19" s="281"/>
      <c r="C19" s="284"/>
      <c r="D19" s="285"/>
      <c r="E19" s="282"/>
      <c r="F19" s="242">
        <f>SUM(F7:F18)</f>
        <v>5018740</v>
      </c>
      <c r="G19" s="197"/>
    </row>
    <row r="20" spans="1:7" ht="24.75" customHeight="1">
      <c r="A20" s="301"/>
      <c r="B20" s="281"/>
      <c r="C20" s="284"/>
      <c r="D20" s="285"/>
      <c r="E20" s="282"/>
      <c r="F20" s="242"/>
      <c r="G20" s="197"/>
    </row>
    <row r="21" spans="1:7" ht="24.75" customHeight="1">
      <c r="A21" s="301"/>
      <c r="B21" s="281"/>
      <c r="C21" s="284"/>
      <c r="D21" s="285"/>
      <c r="E21" s="282"/>
      <c r="F21" s="242"/>
      <c r="G21" s="197"/>
    </row>
    <row r="22" spans="1:7" ht="24.75" customHeight="1">
      <c r="A22" s="301"/>
      <c r="B22" s="281"/>
      <c r="C22" s="284"/>
      <c r="D22" s="285"/>
      <c r="E22" s="282"/>
      <c r="F22" s="242"/>
      <c r="G22" s="197"/>
    </row>
    <row r="23" spans="1:7" ht="24.75" customHeight="1">
      <c r="A23" s="301"/>
      <c r="B23" s="281"/>
      <c r="C23" s="284"/>
      <c r="D23" s="285"/>
      <c r="E23" s="282"/>
      <c r="F23" s="242"/>
      <c r="G23" s="197"/>
    </row>
    <row r="24" spans="1:7" ht="24.75" customHeight="1">
      <c r="A24" s="301"/>
      <c r="B24" s="281"/>
      <c r="C24" s="284"/>
      <c r="D24" s="285"/>
      <c r="E24" s="282"/>
      <c r="F24" s="242"/>
      <c r="G24" s="197"/>
    </row>
    <row r="25" spans="1:7" ht="24.75" customHeight="1" thickBot="1">
      <c r="A25" s="303"/>
      <c r="B25" s="304"/>
      <c r="C25" s="304"/>
      <c r="D25" s="304"/>
      <c r="E25" s="304"/>
      <c r="F25" s="304"/>
      <c r="G25" s="94"/>
    </row>
    <row r="26" spans="1:7" ht="24.75" customHeight="1">
      <c r="A26" s="227"/>
      <c r="C26" s="227"/>
      <c r="D26" s="227"/>
      <c r="E26" s="227"/>
      <c r="F26" s="227"/>
      <c r="G26" s="227"/>
    </row>
    <row r="27" spans="1:5" ht="24.75" customHeight="1">
      <c r="A27" s="29" t="s">
        <v>457</v>
      </c>
      <c r="E27" s="29" t="s">
        <v>458</v>
      </c>
    </row>
  </sheetData>
  <mergeCells count="3">
    <mergeCell ref="A6:G6"/>
    <mergeCell ref="A3:F3"/>
    <mergeCell ref="A4:C4"/>
  </mergeCells>
  <printOptions/>
  <pageMargins left="0.35433070866141736" right="0.36" top="0.5905511811023623" bottom="0.5905511811023623" header="0" footer="0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G29"/>
  <sheetViews>
    <sheetView showGridLines="0" view="pageBreakPreview" zoomScaleSheetLayoutView="100" workbookViewId="0" topLeftCell="A1">
      <selection activeCell="G5" sqref="G5"/>
    </sheetView>
  </sheetViews>
  <sheetFormatPr defaultColWidth="9.00390625" defaultRowHeight="16.5"/>
  <cols>
    <col min="1" max="1" width="22.75390625" style="13" customWidth="1"/>
    <col min="2" max="2" width="13.75390625" style="13" customWidth="1"/>
    <col min="3" max="3" width="5.75390625" style="13" customWidth="1"/>
    <col min="4" max="4" width="7.75390625" style="13" customWidth="1"/>
    <col min="5" max="5" width="9.75390625" style="13" customWidth="1"/>
    <col min="6" max="6" width="12.75390625" style="13" customWidth="1"/>
    <col min="7" max="7" width="11.75390625" style="13" customWidth="1"/>
    <col min="8" max="16384" width="9.00390625" style="13" customWidth="1"/>
  </cols>
  <sheetData>
    <row r="1" spans="1:7" ht="24.75" customHeight="1">
      <c r="A1" s="90" t="str">
        <f>data!K1</f>
        <v>經濟部水利署第十河川局</v>
      </c>
      <c r="B1" s="89"/>
      <c r="C1" s="89"/>
      <c r="D1" s="89"/>
      <c r="E1" s="89"/>
      <c r="F1" s="89"/>
      <c r="G1" s="89"/>
    </row>
    <row r="2" spans="1:7" ht="24.75" customHeight="1">
      <c r="A2" s="90" t="s">
        <v>441</v>
      </c>
      <c r="B2" s="89"/>
      <c r="C2" s="89"/>
      <c r="D2" s="89"/>
      <c r="E2" s="89"/>
      <c r="F2" s="89"/>
      <c r="G2" s="89"/>
    </row>
    <row r="3" spans="1:7" ht="31.5" customHeight="1">
      <c r="A3" s="1483" t="str">
        <f>data!F1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ht="24.75" customHeight="1" thickBot="1">
      <c r="A4" s="1485" t="str">
        <f>data!C1</f>
        <v>施工地點：台北縣瑞芳鎮</v>
      </c>
      <c r="B4" s="1485"/>
      <c r="C4" s="1485"/>
      <c r="D4" s="223"/>
      <c r="E4" s="91"/>
      <c r="F4" s="91"/>
      <c r="G4" s="251" t="s">
        <v>191</v>
      </c>
    </row>
    <row r="5" spans="1:7" ht="24.75" customHeight="1">
      <c r="A5" s="5" t="s">
        <v>442</v>
      </c>
      <c r="B5" s="6" t="s">
        <v>443</v>
      </c>
      <c r="C5" s="6" t="s">
        <v>439</v>
      </c>
      <c r="D5" s="6" t="s">
        <v>440</v>
      </c>
      <c r="E5" s="6" t="s">
        <v>444</v>
      </c>
      <c r="F5" s="6" t="s">
        <v>445</v>
      </c>
      <c r="G5" s="7" t="s">
        <v>446</v>
      </c>
    </row>
    <row r="6" spans="1:7" ht="24.75" customHeight="1">
      <c r="A6" s="1461" t="s">
        <v>113</v>
      </c>
      <c r="B6" s="1462"/>
      <c r="C6" s="1462"/>
      <c r="D6" s="1462"/>
      <c r="E6" s="1462"/>
      <c r="F6" s="1462"/>
      <c r="G6" s="1463"/>
    </row>
    <row r="7" spans="1:7" ht="24.75" customHeight="1">
      <c r="A7" s="19" t="s">
        <v>462</v>
      </c>
      <c r="B7" s="132" t="s">
        <v>683</v>
      </c>
      <c r="C7" s="9" t="s">
        <v>463</v>
      </c>
      <c r="D7" s="243">
        <v>2</v>
      </c>
      <c r="E7" s="243">
        <v>15000</v>
      </c>
      <c r="F7" s="243">
        <f aca="true" t="shared" si="0" ref="F7:F12">D7*E7</f>
        <v>30000</v>
      </c>
      <c r="G7" s="8"/>
    </row>
    <row r="8" spans="1:7" ht="24.75" customHeight="1">
      <c r="A8" s="400" t="s">
        <v>684</v>
      </c>
      <c r="B8" s="22" t="s">
        <v>685</v>
      </c>
      <c r="C8" s="17" t="s">
        <v>686</v>
      </c>
      <c r="D8" s="243">
        <v>3</v>
      </c>
      <c r="E8" s="243">
        <v>25000</v>
      </c>
      <c r="F8" s="243">
        <f t="shared" si="0"/>
        <v>75000</v>
      </c>
      <c r="G8" s="86" t="s">
        <v>687</v>
      </c>
    </row>
    <row r="9" spans="1:7" ht="24.75" customHeight="1">
      <c r="A9" s="19" t="s">
        <v>688</v>
      </c>
      <c r="B9" s="22" t="s">
        <v>689</v>
      </c>
      <c r="C9" s="9" t="s">
        <v>690</v>
      </c>
      <c r="D9" s="243">
        <v>50</v>
      </c>
      <c r="E9" s="243">
        <v>300</v>
      </c>
      <c r="F9" s="243">
        <f t="shared" si="0"/>
        <v>15000</v>
      </c>
      <c r="G9" s="86"/>
    </row>
    <row r="10" spans="1:7" ht="24.75" customHeight="1">
      <c r="A10" s="19" t="s">
        <v>691</v>
      </c>
      <c r="B10" s="21" t="s">
        <v>692</v>
      </c>
      <c r="C10" s="9" t="s">
        <v>693</v>
      </c>
      <c r="D10" s="243">
        <v>12</v>
      </c>
      <c r="E10" s="243">
        <v>3000</v>
      </c>
      <c r="F10" s="243">
        <f t="shared" si="0"/>
        <v>36000</v>
      </c>
      <c r="G10" s="86" t="s">
        <v>687</v>
      </c>
    </row>
    <row r="11" spans="1:7" ht="24.75" customHeight="1">
      <c r="A11" s="19" t="s">
        <v>694</v>
      </c>
      <c r="B11" s="132" t="s">
        <v>695</v>
      </c>
      <c r="C11" s="9" t="s">
        <v>696</v>
      </c>
      <c r="D11" s="243">
        <v>8</v>
      </c>
      <c r="E11" s="243">
        <v>1000</v>
      </c>
      <c r="F11" s="243">
        <f t="shared" si="0"/>
        <v>8000</v>
      </c>
      <c r="G11" s="86"/>
    </row>
    <row r="12" spans="1:7" ht="24.75" customHeight="1">
      <c r="A12" s="19" t="s">
        <v>697</v>
      </c>
      <c r="B12" s="21" t="s">
        <v>698</v>
      </c>
      <c r="C12" s="9" t="s">
        <v>699</v>
      </c>
      <c r="D12" s="243">
        <v>10</v>
      </c>
      <c r="E12" s="243">
        <v>1800</v>
      </c>
      <c r="F12" s="243">
        <f t="shared" si="0"/>
        <v>18000</v>
      </c>
      <c r="G12" s="24"/>
    </row>
    <row r="13" spans="1:7" ht="24.75" customHeight="1">
      <c r="A13" s="19" t="s">
        <v>168</v>
      </c>
      <c r="B13" s="21" t="s">
        <v>700</v>
      </c>
      <c r="C13" s="9" t="s">
        <v>414</v>
      </c>
      <c r="D13" s="243">
        <v>1</v>
      </c>
      <c r="E13" s="244" t="s">
        <v>464</v>
      </c>
      <c r="F13" s="243">
        <v>100000</v>
      </c>
      <c r="G13" s="26"/>
    </row>
    <row r="14" spans="1:7" ht="24.75" customHeight="1">
      <c r="A14" s="19" t="s">
        <v>701</v>
      </c>
      <c r="B14" s="21" t="s">
        <v>687</v>
      </c>
      <c r="C14" s="9" t="s">
        <v>702</v>
      </c>
      <c r="D14" s="243">
        <v>80</v>
      </c>
      <c r="E14" s="243">
        <v>1800</v>
      </c>
      <c r="F14" s="243">
        <f>D14*E14</f>
        <v>144000</v>
      </c>
      <c r="G14" s="24"/>
    </row>
    <row r="15" spans="1:7" ht="24.75" customHeight="1">
      <c r="A15" s="19" t="s">
        <v>703</v>
      </c>
      <c r="B15" s="21"/>
      <c r="C15" s="84" t="s">
        <v>704</v>
      </c>
      <c r="D15" s="243">
        <v>2000</v>
      </c>
      <c r="E15" s="243">
        <v>5</v>
      </c>
      <c r="F15" s="243">
        <f>D15*E15</f>
        <v>10000</v>
      </c>
      <c r="G15" s="24"/>
    </row>
    <row r="16" spans="1:7" ht="24.75" customHeight="1">
      <c r="A16" s="19" t="s">
        <v>382</v>
      </c>
      <c r="B16" s="21"/>
      <c r="C16" s="84" t="s">
        <v>1153</v>
      </c>
      <c r="D16" s="243">
        <v>1</v>
      </c>
      <c r="E16" s="246" t="s">
        <v>464</v>
      </c>
      <c r="F16" s="243">
        <v>100000</v>
      </c>
      <c r="G16" s="24"/>
    </row>
    <row r="17" spans="1:7" ht="24.75" customHeight="1">
      <c r="A17" s="19" t="s">
        <v>172</v>
      </c>
      <c r="B17" s="21"/>
      <c r="C17" s="84" t="s">
        <v>1153</v>
      </c>
      <c r="D17" s="243">
        <v>1</v>
      </c>
      <c r="E17" s="246" t="s">
        <v>464</v>
      </c>
      <c r="F17" s="243">
        <v>100000</v>
      </c>
      <c r="G17" s="24"/>
    </row>
    <row r="18" spans="1:7" ht="24.75" customHeight="1">
      <c r="A18" s="19" t="s">
        <v>1040</v>
      </c>
      <c r="B18" s="21"/>
      <c r="C18" s="84"/>
      <c r="D18" s="243"/>
      <c r="E18" s="243"/>
      <c r="F18" s="243">
        <f>SUM(F7:F17)</f>
        <v>636000</v>
      </c>
      <c r="G18" s="8"/>
    </row>
    <row r="19" spans="1:7" ht="24.75" customHeight="1">
      <c r="A19" s="19"/>
      <c r="B19" s="215"/>
      <c r="C19" s="9"/>
      <c r="D19" s="243"/>
      <c r="E19" s="245"/>
      <c r="F19" s="245"/>
      <c r="G19" s="216"/>
    </row>
    <row r="20" spans="1:7" ht="24.75" customHeight="1">
      <c r="A20" s="19"/>
      <c r="B20" s="215"/>
      <c r="C20" s="9"/>
      <c r="D20" s="243"/>
      <c r="E20" s="245"/>
      <c r="F20" s="245"/>
      <c r="G20" s="216"/>
    </row>
    <row r="21" spans="1:7" ht="24.75" customHeight="1">
      <c r="A21" s="19"/>
      <c r="B21" s="21"/>
      <c r="C21" s="9"/>
      <c r="D21" s="16"/>
      <c r="E21" s="425"/>
      <c r="F21" s="245"/>
      <c r="G21" s="216"/>
    </row>
    <row r="22" spans="1:7" ht="24.75" customHeight="1">
      <c r="A22" s="19"/>
      <c r="B22" s="215"/>
      <c r="C22" s="9"/>
      <c r="D22" s="16"/>
      <c r="E22" s="215"/>
      <c r="F22" s="215"/>
      <c r="G22" s="216"/>
    </row>
    <row r="23" spans="1:7" s="29" customFormat="1" ht="24.75" customHeight="1">
      <c r="A23" s="217"/>
      <c r="B23" s="21"/>
      <c r="C23" s="9"/>
      <c r="D23" s="16"/>
      <c r="E23" s="25"/>
      <c r="F23" s="215"/>
      <c r="G23" s="8"/>
    </row>
    <row r="24" spans="1:7" s="92" customFormat="1" ht="24.75" customHeight="1">
      <c r="A24" s="19"/>
      <c r="B24" s="21"/>
      <c r="C24" s="9"/>
      <c r="D24" s="16"/>
      <c r="E24" s="25"/>
      <c r="F24" s="16"/>
      <c r="G24" s="8"/>
    </row>
    <row r="25" spans="1:7" ht="24.75" customHeight="1">
      <c r="A25" s="18"/>
      <c r="B25" s="9"/>
      <c r="C25" s="16"/>
      <c r="D25" s="16"/>
      <c r="E25" s="16"/>
      <c r="F25" s="16"/>
      <c r="G25" s="8"/>
    </row>
    <row r="26" spans="1:7" ht="24.75" customHeight="1" thickBot="1">
      <c r="A26" s="10"/>
      <c r="B26" s="11"/>
      <c r="C26" s="11"/>
      <c r="D26" s="11"/>
      <c r="E26" s="11"/>
      <c r="F26" s="11"/>
      <c r="G26" s="12"/>
    </row>
    <row r="27" spans="2:7" ht="24.75" customHeight="1">
      <c r="B27" s="228"/>
      <c r="C27" s="228"/>
      <c r="D27" s="228"/>
      <c r="E27" s="228"/>
      <c r="F27" s="228"/>
      <c r="G27" s="228"/>
    </row>
    <row r="28" spans="1:7" ht="24.75" customHeight="1">
      <c r="A28" s="29" t="s">
        <v>457</v>
      </c>
      <c r="B28" s="29"/>
      <c r="C28" s="29"/>
      <c r="D28" s="29"/>
      <c r="E28" s="29" t="s">
        <v>458</v>
      </c>
      <c r="F28" s="29"/>
      <c r="G28" s="29"/>
    </row>
    <row r="29" spans="1:7" ht="24.75" customHeight="1">
      <c r="A29" s="92"/>
      <c r="B29" s="92"/>
      <c r="C29" s="93"/>
      <c r="D29" s="92"/>
      <c r="E29" s="92"/>
      <c r="F29" s="92"/>
      <c r="G29" s="92"/>
    </row>
  </sheetData>
  <mergeCells count="3">
    <mergeCell ref="A3:F3"/>
    <mergeCell ref="A4:C4"/>
    <mergeCell ref="A6:G6"/>
  </mergeCells>
  <printOptions/>
  <pageMargins left="0.35433070866141736" right="0.38" top="0.5905511811023623" bottom="0.5905511811023623" header="0" footer="0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G29"/>
  <sheetViews>
    <sheetView showGridLines="0" view="pageBreakPreview" zoomScaleSheetLayoutView="100" workbookViewId="0" topLeftCell="A25">
      <selection activeCell="G5" sqref="G5"/>
    </sheetView>
  </sheetViews>
  <sheetFormatPr defaultColWidth="9.00390625" defaultRowHeight="16.5"/>
  <cols>
    <col min="1" max="1" width="22.75390625" style="4" customWidth="1"/>
    <col min="2" max="2" width="12.75390625" style="4" customWidth="1"/>
    <col min="3" max="3" width="5.75390625" style="4" customWidth="1"/>
    <col min="4" max="4" width="7.75390625" style="4" customWidth="1"/>
    <col min="5" max="5" width="9.75390625" style="4" customWidth="1"/>
    <col min="6" max="6" width="12.75390625" style="4" customWidth="1"/>
    <col min="7" max="7" width="11.75390625" style="4" customWidth="1"/>
    <col min="8" max="16384" width="9.00390625" style="4" customWidth="1"/>
  </cols>
  <sheetData>
    <row r="1" spans="1:7" ht="24.75" customHeight="1">
      <c r="A1" s="1" t="str">
        <f>data!K1</f>
        <v>經濟部水利署第十河川局</v>
      </c>
      <c r="B1" s="3"/>
      <c r="C1" s="3"/>
      <c r="D1" s="3"/>
      <c r="E1" s="3"/>
      <c r="F1" s="3"/>
      <c r="G1" s="3"/>
    </row>
    <row r="2" spans="1:7" ht="24.75" customHeight="1">
      <c r="A2" s="2" t="s">
        <v>441</v>
      </c>
      <c r="B2" s="3"/>
      <c r="C2" s="3"/>
      <c r="D2" s="3"/>
      <c r="E2" s="3"/>
      <c r="F2" s="3"/>
      <c r="G2" s="3"/>
    </row>
    <row r="3" spans="1:7" ht="31.5" customHeight="1">
      <c r="A3" s="1483" t="str">
        <f>data!F1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ht="24.75" customHeight="1" thickBot="1">
      <c r="A4" s="1485" t="str">
        <f>data!C1</f>
        <v>施工地點：台北縣瑞芳鎮</v>
      </c>
      <c r="B4" s="1485"/>
      <c r="C4" s="1485"/>
      <c r="D4" s="31"/>
      <c r="E4" s="31"/>
      <c r="F4" s="31"/>
      <c r="G4" s="251" t="s">
        <v>190</v>
      </c>
    </row>
    <row r="5" spans="1:7" ht="24.75" customHeight="1">
      <c r="A5" s="5" t="s">
        <v>442</v>
      </c>
      <c r="B5" s="6" t="s">
        <v>443</v>
      </c>
      <c r="C5" s="6" t="s">
        <v>439</v>
      </c>
      <c r="D5" s="6" t="s">
        <v>440</v>
      </c>
      <c r="E5" s="6" t="s">
        <v>444</v>
      </c>
      <c r="F5" s="6" t="s">
        <v>445</v>
      </c>
      <c r="G5" s="7" t="s">
        <v>446</v>
      </c>
    </row>
    <row r="6" spans="1:7" ht="24.75" customHeight="1">
      <c r="A6" s="1408" t="s">
        <v>127</v>
      </c>
      <c r="B6" s="1502"/>
      <c r="C6" s="1502"/>
      <c r="D6" s="1502"/>
      <c r="E6" s="1502"/>
      <c r="F6" s="1502"/>
      <c r="G6" s="1503"/>
    </row>
    <row r="7" spans="1:7" ht="24.75" customHeight="1">
      <c r="A7" s="19" t="s">
        <v>706</v>
      </c>
      <c r="B7" s="87"/>
      <c r="C7" s="9" t="s">
        <v>707</v>
      </c>
      <c r="D7" s="243">
        <v>1</v>
      </c>
      <c r="E7" s="244" t="s">
        <v>708</v>
      </c>
      <c r="F7" s="243">
        <v>400000</v>
      </c>
      <c r="G7" s="133"/>
    </row>
    <row r="8" spans="1:7" ht="24.75" customHeight="1">
      <c r="A8" s="19" t="s">
        <v>709</v>
      </c>
      <c r="B8" s="21" t="s">
        <v>710</v>
      </c>
      <c r="C8" s="9" t="s">
        <v>707</v>
      </c>
      <c r="D8" s="243">
        <v>1</v>
      </c>
      <c r="E8" s="244" t="s">
        <v>708</v>
      </c>
      <c r="F8" s="243">
        <v>300000</v>
      </c>
      <c r="G8" s="133"/>
    </row>
    <row r="9" spans="1:7" ht="24.75" customHeight="1">
      <c r="A9" s="401" t="s">
        <v>711</v>
      </c>
      <c r="B9" s="287"/>
      <c r="C9" s="9" t="s">
        <v>707</v>
      </c>
      <c r="D9" s="243">
        <v>1</v>
      </c>
      <c r="E9" s="244" t="s">
        <v>708</v>
      </c>
      <c r="F9" s="243">
        <v>200000</v>
      </c>
      <c r="G9" s="133" t="s">
        <v>712</v>
      </c>
    </row>
    <row r="10" spans="1:7" ht="24.75" customHeight="1">
      <c r="A10" s="19" t="s">
        <v>713</v>
      </c>
      <c r="B10" s="21" t="s">
        <v>714</v>
      </c>
      <c r="C10" s="9" t="s">
        <v>707</v>
      </c>
      <c r="D10" s="243">
        <v>1</v>
      </c>
      <c r="E10" s="244" t="s">
        <v>708</v>
      </c>
      <c r="F10" s="243">
        <v>250000</v>
      </c>
      <c r="G10" s="198"/>
    </row>
    <row r="11" spans="1:7" ht="24.75" customHeight="1">
      <c r="A11" s="19" t="s">
        <v>818</v>
      </c>
      <c r="B11" s="21"/>
      <c r="C11" s="9" t="s">
        <v>707</v>
      </c>
      <c r="D11" s="243">
        <v>1</v>
      </c>
      <c r="E11" s="244" t="s">
        <v>708</v>
      </c>
      <c r="F11" s="243">
        <v>130000</v>
      </c>
      <c r="G11" s="198"/>
    </row>
    <row r="12" spans="1:7" ht="24.75" customHeight="1">
      <c r="A12" s="19" t="s">
        <v>819</v>
      </c>
      <c r="B12" s="21"/>
      <c r="C12" s="9" t="s">
        <v>707</v>
      </c>
      <c r="D12" s="243">
        <v>1</v>
      </c>
      <c r="E12" s="17" t="s">
        <v>708</v>
      </c>
      <c r="F12" s="243">
        <v>150000</v>
      </c>
      <c r="G12" s="198"/>
    </row>
    <row r="13" spans="1:7" ht="24.75" customHeight="1">
      <c r="A13" s="19" t="s">
        <v>820</v>
      </c>
      <c r="B13" s="132" t="s">
        <v>715</v>
      </c>
      <c r="C13" s="9" t="s">
        <v>707</v>
      </c>
      <c r="D13" s="243">
        <v>1</v>
      </c>
      <c r="E13" s="17" t="s">
        <v>708</v>
      </c>
      <c r="F13" s="243">
        <v>200000</v>
      </c>
      <c r="G13" s="198"/>
    </row>
    <row r="14" spans="1:7" ht="24.75" customHeight="1">
      <c r="A14" s="19" t="s">
        <v>647</v>
      </c>
      <c r="B14" s="21"/>
      <c r="C14" s="9"/>
      <c r="D14" s="243"/>
      <c r="E14" s="246"/>
      <c r="F14" s="243">
        <f>SUM(F7:F13)</f>
        <v>1630000</v>
      </c>
      <c r="G14" s="198"/>
    </row>
    <row r="15" spans="1:7" ht="24.75" customHeight="1">
      <c r="A15" s="19"/>
      <c r="B15" s="21"/>
      <c r="C15" s="9"/>
      <c r="D15" s="16"/>
      <c r="E15" s="9"/>
      <c r="F15" s="16"/>
      <c r="G15" s="198"/>
    </row>
    <row r="16" spans="1:7" ht="24.75" customHeight="1">
      <c r="A16" s="19"/>
      <c r="B16" s="21"/>
      <c r="C16" s="9"/>
      <c r="D16" s="16"/>
      <c r="E16" s="9"/>
      <c r="F16" s="16"/>
      <c r="G16" s="198"/>
    </row>
    <row r="17" spans="1:7" ht="24.75" customHeight="1">
      <c r="A17" s="19"/>
      <c r="B17" s="21"/>
      <c r="C17" s="9"/>
      <c r="D17" s="16"/>
      <c r="E17" s="9"/>
      <c r="F17" s="16"/>
      <c r="G17" s="198"/>
    </row>
    <row r="18" spans="1:7" ht="24.75" customHeight="1">
      <c r="A18" s="18"/>
      <c r="B18" s="9"/>
      <c r="C18" s="16"/>
      <c r="D18" s="16"/>
      <c r="E18" s="16"/>
      <c r="F18" s="16"/>
      <c r="G18" s="198"/>
    </row>
    <row r="19" spans="1:7" ht="24.75" customHeight="1">
      <c r="A19" s="18"/>
      <c r="B19" s="9"/>
      <c r="C19" s="16"/>
      <c r="D19" s="16"/>
      <c r="E19" s="16"/>
      <c r="F19" s="16"/>
      <c r="G19" s="198"/>
    </row>
    <row r="20" spans="1:7" ht="24.75" customHeight="1">
      <c r="A20" s="18"/>
      <c r="B20" s="9"/>
      <c r="C20" s="16"/>
      <c r="D20" s="16"/>
      <c r="E20" s="16"/>
      <c r="F20" s="16"/>
      <c r="G20" s="8"/>
    </row>
    <row r="21" spans="1:7" ht="24.75" customHeight="1">
      <c r="A21" s="18"/>
      <c r="B21" s="9"/>
      <c r="C21" s="16"/>
      <c r="D21" s="16"/>
      <c r="E21" s="16"/>
      <c r="F21" s="16"/>
      <c r="G21" s="8"/>
    </row>
    <row r="22" spans="1:7" ht="24.75" customHeight="1">
      <c r="A22" s="18"/>
      <c r="B22" s="9"/>
      <c r="C22" s="16"/>
      <c r="D22" s="16"/>
      <c r="E22" s="16"/>
      <c r="F22" s="16"/>
      <c r="G22" s="8"/>
    </row>
    <row r="23" spans="1:7" ht="24.75" customHeight="1">
      <c r="A23" s="18"/>
      <c r="B23" s="9"/>
      <c r="C23" s="16"/>
      <c r="D23" s="16"/>
      <c r="E23" s="16"/>
      <c r="F23" s="16"/>
      <c r="G23" s="8"/>
    </row>
    <row r="24" spans="1:7" ht="24.75" customHeight="1">
      <c r="A24" s="18"/>
      <c r="B24" s="9"/>
      <c r="C24" s="16"/>
      <c r="D24" s="16"/>
      <c r="E24" s="16"/>
      <c r="F24" s="16"/>
      <c r="G24" s="8"/>
    </row>
    <row r="25" spans="1:7" ht="24.75" customHeight="1">
      <c r="A25" s="18"/>
      <c r="B25" s="9"/>
      <c r="C25" s="16"/>
      <c r="D25" s="16"/>
      <c r="E25" s="16"/>
      <c r="F25" s="16"/>
      <c r="G25" s="8"/>
    </row>
    <row r="26" spans="1:7" ht="24.75" customHeight="1" thickBot="1">
      <c r="A26" s="10"/>
      <c r="B26" s="11"/>
      <c r="C26" s="11"/>
      <c r="D26" s="11"/>
      <c r="E26" s="11"/>
      <c r="F26" s="11"/>
      <c r="G26" s="12"/>
    </row>
    <row r="27" spans="1:7" ht="24.75" customHeight="1">
      <c r="A27" s="13"/>
      <c r="B27" s="228"/>
      <c r="C27" s="228"/>
      <c r="D27" s="228"/>
      <c r="E27" s="228"/>
      <c r="F27" s="228"/>
      <c r="G27" s="228"/>
    </row>
    <row r="28" spans="1:5" s="29" customFormat="1" ht="24.75" customHeight="1">
      <c r="A28" s="29" t="s">
        <v>457</v>
      </c>
      <c r="E28" s="29" t="s">
        <v>458</v>
      </c>
    </row>
    <row r="29" s="14" customFormat="1" ht="24.75" customHeight="1">
      <c r="C29" s="15"/>
    </row>
    <row r="30" ht="18" customHeight="1"/>
  </sheetData>
  <mergeCells count="3">
    <mergeCell ref="A3:F3"/>
    <mergeCell ref="A4:C4"/>
    <mergeCell ref="A6:G6"/>
  </mergeCells>
  <printOptions/>
  <pageMargins left="0.35433070866141736" right="0.5511811023622047" top="0.5905511811023623" bottom="0.5905511811023623" header="0" footer="0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SheetLayoutView="100" workbookViewId="0" topLeftCell="A31">
      <selection activeCell="G13" sqref="G13"/>
    </sheetView>
  </sheetViews>
  <sheetFormatPr defaultColWidth="9.00390625" defaultRowHeight="16.5"/>
  <cols>
    <col min="1" max="1" width="25.25390625" style="4" customWidth="1"/>
    <col min="2" max="2" width="14.125" style="4" customWidth="1"/>
    <col min="3" max="3" width="7.125" style="4" customWidth="1"/>
    <col min="4" max="4" width="7.75390625" style="4" customWidth="1"/>
    <col min="5" max="5" width="9.75390625" style="4" customWidth="1"/>
    <col min="6" max="6" width="12.75390625" style="4" customWidth="1"/>
    <col min="7" max="7" width="14.50390625" style="4" customWidth="1"/>
  </cols>
  <sheetData>
    <row r="1" spans="1:7" s="249" customFormat="1" ht="25.5" customHeight="1">
      <c r="A1" s="247" t="str">
        <f>'第五號明細表'!A1</f>
        <v>經濟部水利署第十河川局</v>
      </c>
      <c r="B1" s="248"/>
      <c r="C1" s="248"/>
      <c r="D1" s="248"/>
      <c r="E1" s="248"/>
      <c r="F1" s="248"/>
      <c r="G1" s="248"/>
    </row>
    <row r="2" spans="1:7" s="249" customFormat="1" ht="25.5" customHeight="1">
      <c r="A2" s="250" t="s">
        <v>441</v>
      </c>
      <c r="B2" s="248"/>
      <c r="C2" s="248"/>
      <c r="D2" s="248"/>
      <c r="E2" s="248"/>
      <c r="F2" s="248"/>
      <c r="G2" s="248"/>
    </row>
    <row r="3" spans="1:7" s="249" customFormat="1" ht="25.5" customHeight="1">
      <c r="A3" s="1483" t="str">
        <f>'第五號明細表'!A3</f>
        <v>工程名稱:基隆河整體治理計劃（前期計劃）瑞芳區塊介壽橋下游左右岸護岸工程</v>
      </c>
      <c r="B3" s="1484"/>
      <c r="C3" s="1484"/>
      <c r="D3" s="1484"/>
      <c r="E3" s="1484"/>
      <c r="F3" s="1484"/>
      <c r="G3" s="253" t="s">
        <v>1268</v>
      </c>
    </row>
    <row r="4" spans="1:7" s="249" customFormat="1" ht="25.5" customHeight="1" thickBot="1">
      <c r="A4" s="1504" t="str">
        <f>'第五號明細表'!A4</f>
        <v>施工地點：台北縣瑞芳鎮</v>
      </c>
      <c r="B4" s="1504"/>
      <c r="C4" s="1504"/>
      <c r="D4" s="252"/>
      <c r="E4" s="252"/>
      <c r="F4" s="251"/>
      <c r="G4" s="251" t="s">
        <v>188</v>
      </c>
    </row>
    <row r="5" spans="1:7" ht="25.5" customHeight="1">
      <c r="A5" s="262" t="s">
        <v>568</v>
      </c>
      <c r="B5" s="263" t="s">
        <v>443</v>
      </c>
      <c r="C5" s="263" t="s">
        <v>439</v>
      </c>
      <c r="D5" s="263" t="s">
        <v>440</v>
      </c>
      <c r="E5" s="263" t="s">
        <v>444</v>
      </c>
      <c r="F5" s="263" t="s">
        <v>445</v>
      </c>
      <c r="G5" s="264" t="s">
        <v>446</v>
      </c>
    </row>
    <row r="6" spans="1:7" ht="25.5" customHeight="1">
      <c r="A6" s="1505" t="s">
        <v>114</v>
      </c>
      <c r="B6" s="1506"/>
      <c r="C6" s="1506"/>
      <c r="D6" s="1506"/>
      <c r="E6" s="1506"/>
      <c r="F6" s="1506"/>
      <c r="G6" s="1507"/>
    </row>
    <row r="7" spans="1:7" ht="25.5" customHeight="1">
      <c r="A7" s="265" t="s">
        <v>386</v>
      </c>
      <c r="B7" s="255"/>
      <c r="C7" s="256"/>
      <c r="D7" s="257"/>
      <c r="E7" s="254"/>
      <c r="F7" s="257"/>
      <c r="G7" s="266"/>
    </row>
    <row r="8" spans="1:7" ht="34.5" customHeight="1">
      <c r="A8" s="265" t="s">
        <v>387</v>
      </c>
      <c r="B8" s="258" t="s">
        <v>388</v>
      </c>
      <c r="C8" s="256" t="s">
        <v>384</v>
      </c>
      <c r="D8" s="308">
        <v>120</v>
      </c>
      <c r="E8" s="306">
        <v>1500</v>
      </c>
      <c r="F8" s="305">
        <f aca="true" t="shared" si="0" ref="F8:F37">D8*E8</f>
        <v>180000</v>
      </c>
      <c r="G8" s="1305" t="s">
        <v>205</v>
      </c>
    </row>
    <row r="9" spans="1:7" ht="34.5" customHeight="1">
      <c r="A9" s="265" t="s">
        <v>389</v>
      </c>
      <c r="B9" s="258" t="s">
        <v>388</v>
      </c>
      <c r="C9" s="256" t="s">
        <v>384</v>
      </c>
      <c r="D9" s="308">
        <v>120</v>
      </c>
      <c r="E9" s="306">
        <v>1150</v>
      </c>
      <c r="F9" s="305">
        <f t="shared" si="0"/>
        <v>138000</v>
      </c>
      <c r="G9" s="1305" t="s">
        <v>205</v>
      </c>
    </row>
    <row r="10" spans="1:7" ht="25.5" customHeight="1">
      <c r="A10" s="265" t="s">
        <v>390</v>
      </c>
      <c r="B10" s="259" t="s">
        <v>391</v>
      </c>
      <c r="C10" s="256" t="s">
        <v>384</v>
      </c>
      <c r="D10" s="308">
        <v>14</v>
      </c>
      <c r="E10" s="306">
        <v>3000</v>
      </c>
      <c r="F10" s="305">
        <f t="shared" si="0"/>
        <v>42000</v>
      </c>
      <c r="G10" s="1305" t="s">
        <v>1451</v>
      </c>
    </row>
    <row r="11" spans="1:7" ht="25.5" customHeight="1">
      <c r="A11" s="265" t="s">
        <v>392</v>
      </c>
      <c r="B11" s="259" t="s">
        <v>391</v>
      </c>
      <c r="C11" s="256" t="s">
        <v>384</v>
      </c>
      <c r="D11" s="308">
        <v>14</v>
      </c>
      <c r="E11" s="306">
        <v>1350</v>
      </c>
      <c r="F11" s="305">
        <f t="shared" si="0"/>
        <v>18900</v>
      </c>
      <c r="G11" s="1305" t="s">
        <v>1450</v>
      </c>
    </row>
    <row r="12" spans="1:7" s="1311" customFormat="1" ht="25.5" customHeight="1">
      <c r="A12" s="727" t="s">
        <v>393</v>
      </c>
      <c r="B12" s="731" t="s">
        <v>394</v>
      </c>
      <c r="C12" s="723" t="s">
        <v>395</v>
      </c>
      <c r="D12" s="1308">
        <v>105</v>
      </c>
      <c r="E12" s="1309">
        <v>2000</v>
      </c>
      <c r="F12" s="1310">
        <f t="shared" si="0"/>
        <v>210000</v>
      </c>
      <c r="G12" s="1324" t="s">
        <v>1365</v>
      </c>
    </row>
    <row r="13" spans="1:7" s="1311" customFormat="1" ht="25.5" customHeight="1">
      <c r="A13" s="727" t="s">
        <v>396</v>
      </c>
      <c r="B13" s="731" t="s">
        <v>394</v>
      </c>
      <c r="C13" s="723" t="s">
        <v>395</v>
      </c>
      <c r="D13" s="1308">
        <v>105</v>
      </c>
      <c r="E13" s="1312">
        <v>200</v>
      </c>
      <c r="F13" s="1310">
        <f t="shared" si="0"/>
        <v>21000</v>
      </c>
      <c r="G13" s="726"/>
    </row>
    <row r="14" spans="1:7" s="1311" customFormat="1" ht="25.5" customHeight="1">
      <c r="A14" s="721" t="s">
        <v>1353</v>
      </c>
      <c r="B14" s="731" t="s">
        <v>394</v>
      </c>
      <c r="C14" s="723" t="s">
        <v>395</v>
      </c>
      <c r="D14" s="1308">
        <v>35</v>
      </c>
      <c r="E14" s="1312">
        <v>2500</v>
      </c>
      <c r="F14" s="1310">
        <f t="shared" si="0"/>
        <v>87500</v>
      </c>
      <c r="G14" s="1324" t="s">
        <v>1363</v>
      </c>
    </row>
    <row r="15" spans="1:7" ht="45" customHeight="1">
      <c r="A15" s="268" t="s">
        <v>1341</v>
      </c>
      <c r="B15" s="1381" t="s">
        <v>128</v>
      </c>
      <c r="C15" s="256" t="s">
        <v>1342</v>
      </c>
      <c r="D15" s="308">
        <v>58</v>
      </c>
      <c r="E15" s="307">
        <v>4000</v>
      </c>
      <c r="F15" s="257">
        <f t="shared" si="0"/>
        <v>232000</v>
      </c>
      <c r="G15" s="1325" t="s">
        <v>1364</v>
      </c>
    </row>
    <row r="16" spans="1:7" ht="24.75" customHeight="1">
      <c r="A16" s="721" t="s">
        <v>809</v>
      </c>
      <c r="B16" s="722"/>
      <c r="C16" s="723" t="s">
        <v>810</v>
      </c>
      <c r="D16" s="724">
        <v>1</v>
      </c>
      <c r="E16" s="307">
        <v>500</v>
      </c>
      <c r="F16" s="725">
        <f t="shared" si="0"/>
        <v>500</v>
      </c>
      <c r="G16" s="726" t="s">
        <v>1366</v>
      </c>
    </row>
    <row r="17" spans="1:7" ht="24.75" customHeight="1">
      <c r="A17" s="721" t="s">
        <v>811</v>
      </c>
      <c r="B17" s="722" t="s">
        <v>812</v>
      </c>
      <c r="C17" s="723" t="s">
        <v>810</v>
      </c>
      <c r="D17" s="724">
        <v>1</v>
      </c>
      <c r="E17" s="307">
        <v>2400</v>
      </c>
      <c r="F17" s="725">
        <f t="shared" si="0"/>
        <v>2400</v>
      </c>
      <c r="G17" s="726" t="s">
        <v>1366</v>
      </c>
    </row>
    <row r="18" spans="1:7" ht="24.75" customHeight="1">
      <c r="A18" s="721" t="s">
        <v>813</v>
      </c>
      <c r="B18" s="722"/>
      <c r="C18" s="723" t="s">
        <v>810</v>
      </c>
      <c r="D18" s="724">
        <v>1</v>
      </c>
      <c r="E18" s="307">
        <v>750</v>
      </c>
      <c r="F18" s="725">
        <f>D18*E18</f>
        <v>750</v>
      </c>
      <c r="G18" s="726" t="s">
        <v>1366</v>
      </c>
    </row>
    <row r="19" spans="1:7" ht="24.75" customHeight="1">
      <c r="A19" s="727" t="s">
        <v>814</v>
      </c>
      <c r="B19" s="728" t="s">
        <v>815</v>
      </c>
      <c r="C19" s="723" t="s">
        <v>810</v>
      </c>
      <c r="D19" s="724">
        <v>1</v>
      </c>
      <c r="E19" s="307">
        <v>2700</v>
      </c>
      <c r="F19" s="725">
        <f>D19*E19</f>
        <v>2700</v>
      </c>
      <c r="G19" s="726" t="s">
        <v>1366</v>
      </c>
    </row>
    <row r="20" spans="1:7" ht="24.75" customHeight="1">
      <c r="A20" s="727" t="s">
        <v>816</v>
      </c>
      <c r="B20" s="730"/>
      <c r="C20" s="723" t="s">
        <v>810</v>
      </c>
      <c r="D20" s="724">
        <v>1</v>
      </c>
      <c r="E20" s="307">
        <v>4500</v>
      </c>
      <c r="F20" s="725">
        <f>D20*E20</f>
        <v>4500</v>
      </c>
      <c r="G20" s="726" t="s">
        <v>1366</v>
      </c>
    </row>
    <row r="21" spans="1:7" ht="24.75" customHeight="1">
      <c r="A21" s="721" t="s">
        <v>1343</v>
      </c>
      <c r="B21" s="1306" t="s">
        <v>1344</v>
      </c>
      <c r="C21" s="723" t="s">
        <v>1345</v>
      </c>
      <c r="D21" s="724">
        <v>1</v>
      </c>
      <c r="E21" s="307">
        <v>8500</v>
      </c>
      <c r="F21" s="725">
        <f t="shared" si="0"/>
        <v>8500</v>
      </c>
      <c r="G21" s="726" t="s">
        <v>1366</v>
      </c>
    </row>
    <row r="22" spans="1:7" ht="24.75" customHeight="1">
      <c r="A22" s="268" t="s">
        <v>1368</v>
      </c>
      <c r="B22" s="1306" t="s">
        <v>1369</v>
      </c>
      <c r="C22" s="256" t="s">
        <v>1346</v>
      </c>
      <c r="D22" s="257">
        <v>2</v>
      </c>
      <c r="E22" s="307">
        <v>8500</v>
      </c>
      <c r="F22" s="257">
        <f t="shared" si="0"/>
        <v>17000</v>
      </c>
      <c r="G22" s="1307"/>
    </row>
    <row r="23" spans="1:7" ht="24.75" customHeight="1">
      <c r="A23" s="268" t="s">
        <v>1367</v>
      </c>
      <c r="B23" s="1306" t="s">
        <v>1370</v>
      </c>
      <c r="C23" s="256" t="s">
        <v>1346</v>
      </c>
      <c r="D23" s="257">
        <v>2</v>
      </c>
      <c r="E23" s="307">
        <v>8500</v>
      </c>
      <c r="F23" s="257">
        <f>D23*E23</f>
        <v>17000</v>
      </c>
      <c r="G23" s="1307"/>
    </row>
    <row r="24" spans="1:7" ht="24.75" customHeight="1">
      <c r="A24" s="268" t="s">
        <v>1347</v>
      </c>
      <c r="B24" s="1306" t="s">
        <v>1354</v>
      </c>
      <c r="C24" s="256" t="s">
        <v>1346</v>
      </c>
      <c r="D24" s="257">
        <v>15</v>
      </c>
      <c r="E24" s="307">
        <v>1200</v>
      </c>
      <c r="F24" s="257">
        <f t="shared" si="0"/>
        <v>18000</v>
      </c>
      <c r="G24" s="1307"/>
    </row>
    <row r="25" spans="1:7" s="1311" customFormat="1" ht="24.75" customHeight="1">
      <c r="A25" s="721" t="s">
        <v>1348</v>
      </c>
      <c r="B25" s="1306" t="s">
        <v>394</v>
      </c>
      <c r="C25" s="723" t="s">
        <v>1346</v>
      </c>
      <c r="D25" s="724">
        <v>5</v>
      </c>
      <c r="E25" s="307">
        <v>2000</v>
      </c>
      <c r="F25" s="725">
        <f t="shared" si="0"/>
        <v>10000</v>
      </c>
      <c r="G25" s="1324" t="s">
        <v>1372</v>
      </c>
    </row>
    <row r="26" spans="1:7" s="1311" customFormat="1" ht="24.75" customHeight="1">
      <c r="A26" s="721" t="s">
        <v>1371</v>
      </c>
      <c r="B26" s="1306" t="s">
        <v>394</v>
      </c>
      <c r="C26" s="723" t="s">
        <v>1346</v>
      </c>
      <c r="D26" s="724">
        <v>1</v>
      </c>
      <c r="E26" s="307">
        <v>1000</v>
      </c>
      <c r="F26" s="725">
        <f t="shared" si="0"/>
        <v>1000</v>
      </c>
      <c r="G26" s="1324" t="s">
        <v>1373</v>
      </c>
    </row>
    <row r="27" spans="1:7" s="1311" customFormat="1" ht="24.75" customHeight="1" thickBot="1">
      <c r="A27" s="1315" t="s">
        <v>1349</v>
      </c>
      <c r="B27" s="1316" t="s">
        <v>394</v>
      </c>
      <c r="C27" s="1317" t="s">
        <v>1346</v>
      </c>
      <c r="D27" s="1318">
        <v>5</v>
      </c>
      <c r="E27" s="1399">
        <v>500</v>
      </c>
      <c r="F27" s="1319">
        <f t="shared" si="0"/>
        <v>2500</v>
      </c>
      <c r="G27" s="1320"/>
    </row>
    <row r="28" spans="1:5" ht="24.75" customHeight="1">
      <c r="A28" s="29"/>
      <c r="B28" s="29"/>
      <c r="C28" s="29"/>
      <c r="D28" s="29"/>
      <c r="E28" s="29"/>
    </row>
    <row r="29" spans="1:5" ht="24.75" customHeight="1">
      <c r="A29" s="29" t="s">
        <v>457</v>
      </c>
      <c r="B29" s="29"/>
      <c r="C29" s="29"/>
      <c r="D29" s="29"/>
      <c r="E29" s="29" t="s">
        <v>458</v>
      </c>
    </row>
    <row r="30" spans="1:7" s="249" customFormat="1" ht="25.5" customHeight="1">
      <c r="A30" s="247" t="str">
        <f>A1</f>
        <v>經濟部水利署第十河川局</v>
      </c>
      <c r="B30" s="248"/>
      <c r="C30" s="248"/>
      <c r="D30" s="248"/>
      <c r="E30" s="248"/>
      <c r="F30" s="248"/>
      <c r="G30" s="248"/>
    </row>
    <row r="31" spans="1:7" s="249" customFormat="1" ht="25.5" customHeight="1">
      <c r="A31" s="250" t="str">
        <f>A2</f>
        <v>工  程  預  算  書</v>
      </c>
      <c r="B31" s="248"/>
      <c r="C31" s="248"/>
      <c r="D31" s="248"/>
      <c r="E31" s="248"/>
      <c r="F31" s="248"/>
      <c r="G31" s="248"/>
    </row>
    <row r="32" spans="1:7" s="249" customFormat="1" ht="25.5" customHeight="1">
      <c r="A32" s="1483" t="str">
        <f>A3</f>
        <v>工程名稱:基隆河整體治理計劃（前期計劃）瑞芳區塊介壽橋下游左右岸護岸工程</v>
      </c>
      <c r="B32" s="1484"/>
      <c r="C32" s="1484"/>
      <c r="D32" s="1484"/>
      <c r="E32" s="1484"/>
      <c r="F32" s="1484"/>
      <c r="G32" s="253" t="s">
        <v>1268</v>
      </c>
    </row>
    <row r="33" spans="1:7" s="249" customFormat="1" ht="25.5" customHeight="1" thickBot="1">
      <c r="A33" s="1504" t="str">
        <f>A4</f>
        <v>施工地點：台北縣瑞芳鎮</v>
      </c>
      <c r="B33" s="1504"/>
      <c r="C33" s="1504"/>
      <c r="D33" s="252"/>
      <c r="E33" s="252"/>
      <c r="F33" s="251"/>
      <c r="G33" s="251" t="s">
        <v>189</v>
      </c>
    </row>
    <row r="34" spans="1:7" ht="25.5" customHeight="1">
      <c r="A34" s="262" t="s">
        <v>568</v>
      </c>
      <c r="B34" s="263" t="s">
        <v>443</v>
      </c>
      <c r="C34" s="263" t="s">
        <v>439</v>
      </c>
      <c r="D34" s="263" t="s">
        <v>440</v>
      </c>
      <c r="E34" s="263" t="s">
        <v>444</v>
      </c>
      <c r="F34" s="263" t="s">
        <v>445</v>
      </c>
      <c r="G34" s="264" t="s">
        <v>446</v>
      </c>
    </row>
    <row r="35" spans="1:7" ht="25.5" customHeight="1">
      <c r="A35" s="1505" t="s">
        <v>114</v>
      </c>
      <c r="B35" s="1506"/>
      <c r="C35" s="1506"/>
      <c r="D35" s="1506"/>
      <c r="E35" s="1506"/>
      <c r="F35" s="1506"/>
      <c r="G35" s="1507"/>
    </row>
    <row r="36" spans="1:7" s="1311" customFormat="1" ht="24.75" customHeight="1">
      <c r="A36" s="268" t="s">
        <v>206</v>
      </c>
      <c r="B36" s="260" t="s">
        <v>207</v>
      </c>
      <c r="C36" s="256" t="s">
        <v>395</v>
      </c>
      <c r="D36" s="257">
        <v>5</v>
      </c>
      <c r="E36" s="406">
        <v>300</v>
      </c>
      <c r="F36" s="257">
        <f t="shared" si="0"/>
        <v>1500</v>
      </c>
      <c r="G36" s="1307"/>
    </row>
    <row r="37" spans="1:7" ht="34.5" customHeight="1">
      <c r="A37" s="268" t="s">
        <v>1352</v>
      </c>
      <c r="B37" s="260" t="s">
        <v>208</v>
      </c>
      <c r="C37" s="256" t="s">
        <v>1350</v>
      </c>
      <c r="D37" s="257">
        <v>2</v>
      </c>
      <c r="E37" s="406">
        <v>4800</v>
      </c>
      <c r="F37" s="257">
        <f t="shared" si="0"/>
        <v>9600</v>
      </c>
      <c r="G37" s="1307" t="s">
        <v>1351</v>
      </c>
    </row>
    <row r="38" spans="1:7" s="1311" customFormat="1" ht="30" customHeight="1">
      <c r="A38" s="727" t="s">
        <v>1355</v>
      </c>
      <c r="B38" s="731" t="s">
        <v>209</v>
      </c>
      <c r="C38" s="723" t="s">
        <v>1167</v>
      </c>
      <c r="D38" s="724">
        <v>1</v>
      </c>
      <c r="E38" s="729">
        <v>500</v>
      </c>
      <c r="F38" s="725">
        <f>D38*E38</f>
        <v>500</v>
      </c>
      <c r="G38" s="1313"/>
    </row>
    <row r="39" spans="1:7" s="1311" customFormat="1" ht="45" customHeight="1">
      <c r="A39" s="727" t="s">
        <v>1356</v>
      </c>
      <c r="B39" s="1400" t="s">
        <v>210</v>
      </c>
      <c r="C39" s="723" t="s">
        <v>1346</v>
      </c>
      <c r="D39" s="724">
        <v>1</v>
      </c>
      <c r="E39" s="729">
        <v>6750</v>
      </c>
      <c r="F39" s="725">
        <f>D39*E39</f>
        <v>6750</v>
      </c>
      <c r="G39" s="726"/>
    </row>
    <row r="40" spans="1:7" s="1311" customFormat="1" ht="24.75" customHeight="1">
      <c r="A40" s="727" t="s">
        <v>1357</v>
      </c>
      <c r="B40" s="1314"/>
      <c r="C40" s="723" t="s">
        <v>1346</v>
      </c>
      <c r="D40" s="724">
        <v>1</v>
      </c>
      <c r="E40" s="729">
        <v>3000</v>
      </c>
      <c r="F40" s="725">
        <f>D40*E40</f>
        <v>3000</v>
      </c>
      <c r="G40" s="726"/>
    </row>
    <row r="41" spans="1:7" ht="24.75" customHeight="1">
      <c r="A41" s="269" t="s">
        <v>716</v>
      </c>
      <c r="B41" s="260"/>
      <c r="C41" s="256"/>
      <c r="D41" s="308"/>
      <c r="E41" s="307"/>
      <c r="F41" s="305">
        <f>SUM(F8:F36)+SUM(F37:F40)</f>
        <v>1035600</v>
      </c>
      <c r="G41" s="267"/>
    </row>
    <row r="42" spans="1:7" ht="49.5" customHeight="1">
      <c r="A42" s="265" t="s">
        <v>717</v>
      </c>
      <c r="B42" s="256"/>
      <c r="C42" s="256" t="s">
        <v>718</v>
      </c>
      <c r="D42" s="308">
        <v>1</v>
      </c>
      <c r="E42" s="254" t="s">
        <v>719</v>
      </c>
      <c r="F42" s="305">
        <f>ROUND((data!H4/1000)*4.4565+285958,-3)</f>
        <v>933000</v>
      </c>
      <c r="G42" s="1401" t="s">
        <v>211</v>
      </c>
    </row>
    <row r="43" spans="1:7" ht="24.75" customHeight="1">
      <c r="A43" s="269" t="s">
        <v>385</v>
      </c>
      <c r="B43" s="256"/>
      <c r="C43" s="257"/>
      <c r="D43" s="257"/>
      <c r="E43" s="257"/>
      <c r="F43" s="305">
        <f>F41+F42</f>
        <v>1968600</v>
      </c>
      <c r="G43" s="267"/>
    </row>
    <row r="44" spans="1:7" ht="24.75" customHeight="1">
      <c r="A44" s="1326"/>
      <c r="B44" s="257"/>
      <c r="C44" s="257"/>
      <c r="D44" s="257"/>
      <c r="E44" s="257"/>
      <c r="F44" s="257"/>
      <c r="G44" s="1327"/>
    </row>
    <row r="45" spans="1:7" ht="24.75" customHeight="1">
      <c r="A45" s="1326"/>
      <c r="B45" s="1321"/>
      <c r="C45" s="1321"/>
      <c r="D45" s="1321"/>
      <c r="E45" s="1321"/>
      <c r="F45" s="1322"/>
      <c r="G45" s="1328"/>
    </row>
    <row r="46" spans="1:7" ht="24.75" customHeight="1">
      <c r="A46" s="1326"/>
      <c r="B46" s="1321"/>
      <c r="C46" s="1321"/>
      <c r="D46" s="1321"/>
      <c r="E46" s="1321"/>
      <c r="F46" s="1321"/>
      <c r="G46" s="1329"/>
    </row>
    <row r="47" spans="1:7" ht="24.75" customHeight="1">
      <c r="A47" s="1326"/>
      <c r="B47" s="1321"/>
      <c r="C47" s="1321"/>
      <c r="D47" s="1321"/>
      <c r="E47" s="1321"/>
      <c r="F47" s="1321"/>
      <c r="G47" s="1329"/>
    </row>
    <row r="48" spans="1:7" ht="24.75" customHeight="1">
      <c r="A48" s="1326"/>
      <c r="B48" s="1321"/>
      <c r="C48" s="1321"/>
      <c r="D48" s="1321"/>
      <c r="E48" s="1321"/>
      <c r="F48" s="1321"/>
      <c r="G48" s="1329"/>
    </row>
    <row r="49" spans="1:7" ht="24.75" customHeight="1">
      <c r="A49" s="1326"/>
      <c r="B49" s="1321"/>
      <c r="C49" s="1321"/>
      <c r="D49" s="1321"/>
      <c r="E49" s="1321"/>
      <c r="F49" s="1321"/>
      <c r="G49" s="1329"/>
    </row>
    <row r="50" spans="1:7" ht="24.75" customHeight="1">
      <c r="A50" s="1326"/>
      <c r="B50" s="1321"/>
      <c r="C50" s="1321"/>
      <c r="D50" s="1321"/>
      <c r="E50" s="1321"/>
      <c r="F50" s="1321"/>
      <c r="G50" s="1329"/>
    </row>
    <row r="51" spans="1:7" ht="24.75" customHeight="1">
      <c r="A51" s="1326"/>
      <c r="B51" s="1321"/>
      <c r="C51" s="1321"/>
      <c r="D51" s="1321"/>
      <c r="E51" s="1321"/>
      <c r="F51" s="1321"/>
      <c r="G51" s="1329"/>
    </row>
    <row r="52" spans="1:7" ht="24.75" customHeight="1">
      <c r="A52" s="1326"/>
      <c r="B52" s="1321"/>
      <c r="C52" s="1321"/>
      <c r="D52" s="1321"/>
      <c r="E52" s="1321"/>
      <c r="F52" s="1321"/>
      <c r="G52" s="1329"/>
    </row>
    <row r="53" spans="1:7" ht="24.75" customHeight="1">
      <c r="A53" s="1326"/>
      <c r="B53" s="1321"/>
      <c r="C53" s="1321"/>
      <c r="D53" s="1321"/>
      <c r="E53" s="1321"/>
      <c r="F53" s="1321"/>
      <c r="G53" s="1329"/>
    </row>
    <row r="54" spans="1:7" ht="24.75" customHeight="1">
      <c r="A54" s="1326"/>
      <c r="B54" s="1321"/>
      <c r="C54" s="1321"/>
      <c r="D54" s="1321"/>
      <c r="E54" s="1321"/>
      <c r="F54" s="1321"/>
      <c r="G54" s="1329"/>
    </row>
    <row r="55" spans="1:7" ht="24.75" customHeight="1">
      <c r="A55" s="1326"/>
      <c r="B55" s="1321"/>
      <c r="C55" s="1321"/>
      <c r="D55" s="1321"/>
      <c r="E55" s="1321"/>
      <c r="F55" s="1321"/>
      <c r="G55" s="1329"/>
    </row>
    <row r="56" spans="1:7" ht="24.75" customHeight="1" thickBot="1">
      <c r="A56" s="1330"/>
      <c r="B56" s="1323"/>
      <c r="C56" s="1323"/>
      <c r="D56" s="1323"/>
      <c r="E56" s="1323"/>
      <c r="F56" s="1323"/>
      <c r="G56" s="1331"/>
    </row>
    <row r="57" spans="1:5" ht="24.75" customHeight="1">
      <c r="A57" s="29"/>
      <c r="B57" s="29"/>
      <c r="C57" s="29"/>
      <c r="D57" s="29"/>
      <c r="E57" s="29"/>
    </row>
    <row r="58" spans="1:5" ht="24.75" customHeight="1">
      <c r="A58" s="29" t="s">
        <v>457</v>
      </c>
      <c r="B58" s="29"/>
      <c r="C58" s="29"/>
      <c r="D58" s="29"/>
      <c r="E58" s="29" t="s">
        <v>458</v>
      </c>
    </row>
  </sheetData>
  <mergeCells count="6">
    <mergeCell ref="A33:C33"/>
    <mergeCell ref="A35:G35"/>
    <mergeCell ref="A6:G6"/>
    <mergeCell ref="A3:F3"/>
    <mergeCell ref="A4:C4"/>
    <mergeCell ref="A32:F32"/>
  </mergeCells>
  <printOptions/>
  <pageMargins left="0.35433070866141736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台灣省水利局第九工程處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TPWCD09-2</dc:creator>
  <cp:keywords/>
  <dc:description/>
  <cp:lastModifiedBy>jackson</cp:lastModifiedBy>
  <cp:lastPrinted>2004-01-14T09:11:15Z</cp:lastPrinted>
  <dcterms:created xsi:type="dcterms:W3CDTF">1997-09-05T05:29:55Z</dcterms:created>
  <dcterms:modified xsi:type="dcterms:W3CDTF">2004-01-29T00:58:01Z</dcterms:modified>
  <cp:category/>
  <cp:version/>
  <cp:contentType/>
  <cp:contentStatus/>
</cp:coreProperties>
</file>