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8045" windowHeight="5820" tabRatio="861" firstSheet="7" activeTab="12"/>
  </bookViews>
  <sheets>
    <sheet name="Sheet4 (2)" sheetId="1" r:id="rId1"/>
    <sheet name="封面 (2)" sheetId="26" r:id="rId2"/>
    <sheet name="基本單價分析" sheetId="53" r:id="rId3"/>
    <sheet name="04說明書" sheetId="52" r:id="rId4"/>
    <sheet name="02變更設計說明書(1)" sheetId="74" r:id="rId5"/>
    <sheet name="03變更設計說明書(2)" sheetId="79" r:id="rId6"/>
    <sheet name="04變更設計說明書(3)" sheetId="80" r:id="rId7"/>
    <sheet name="05變更設計說明書(4)" sheetId="75" r:id="rId8"/>
    <sheet name="同意書" sheetId="81" r:id="rId9"/>
    <sheet name="第一次變更總表" sheetId="76" r:id="rId10"/>
    <sheet name="第一次變更詳細表" sheetId="77" r:id="rId11"/>
    <sheet name="新增單價分析表" sheetId="78" r:id="rId12"/>
    <sheet name="數量計算表" sheetId="29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</externalReferences>
  <definedNames>
    <definedName name="\0" localSheetId="5">#REF!</definedName>
    <definedName name="\0" localSheetId="6">#REF!</definedName>
    <definedName name="\0">#REF!</definedName>
    <definedName name="\a" localSheetId="5">#REF!</definedName>
    <definedName name="\a" localSheetId="6">#REF!</definedName>
    <definedName name="\a">#REF!</definedName>
    <definedName name="\b" localSheetId="5">#REF!</definedName>
    <definedName name="\b" localSheetId="6">#REF!</definedName>
    <definedName name="\b">#REF!</definedName>
    <definedName name="\c" localSheetId="5">#REF!</definedName>
    <definedName name="\c" localSheetId="3">#REF!</definedName>
    <definedName name="\c" localSheetId="6">#REF!</definedName>
    <definedName name="\c" localSheetId="2">#REF!</definedName>
    <definedName name="\c">#REF!</definedName>
    <definedName name="\d" localSheetId="5">#REF!</definedName>
    <definedName name="\d" localSheetId="6">#REF!</definedName>
    <definedName name="\d">#REF!</definedName>
    <definedName name="\e" localSheetId="5">#REF!</definedName>
    <definedName name="\e" localSheetId="6">#REF!</definedName>
    <definedName name="\e">#REF!</definedName>
    <definedName name="\f" localSheetId="5">#REF!</definedName>
    <definedName name="\f" localSheetId="6">#REF!</definedName>
    <definedName name="\f">#REF!</definedName>
    <definedName name="\g" localSheetId="5">#REF!</definedName>
    <definedName name="\g" localSheetId="6">#REF!</definedName>
    <definedName name="\g">#REF!</definedName>
    <definedName name="\h" localSheetId="5">#REF!</definedName>
    <definedName name="\h" localSheetId="6">#REF!</definedName>
    <definedName name="\h">#REF!</definedName>
    <definedName name="\i" localSheetId="5">#REF!</definedName>
    <definedName name="\i" localSheetId="6">#REF!</definedName>
    <definedName name="\i">#REF!</definedName>
    <definedName name="\j" localSheetId="5">#REF!</definedName>
    <definedName name="\j" localSheetId="6">#REF!</definedName>
    <definedName name="\j">#REF!</definedName>
    <definedName name="\k" localSheetId="5">#REF!</definedName>
    <definedName name="\k" localSheetId="6">#REF!</definedName>
    <definedName name="\k">#REF!</definedName>
    <definedName name="\l" localSheetId="5">#REF!</definedName>
    <definedName name="\l" localSheetId="6">#REF!</definedName>
    <definedName name="\l">#REF!</definedName>
    <definedName name="\m" localSheetId="5">#REF!</definedName>
    <definedName name="\m" localSheetId="6">#REF!</definedName>
    <definedName name="\m">#REF!</definedName>
    <definedName name="\n" localSheetId="5">#REF!</definedName>
    <definedName name="\n" localSheetId="6">#REF!</definedName>
    <definedName name="\n">#REF!</definedName>
    <definedName name="\o" localSheetId="5">#REF!</definedName>
    <definedName name="\o" localSheetId="6">#REF!</definedName>
    <definedName name="\o">#REF!</definedName>
    <definedName name="\p" localSheetId="5">#REF!</definedName>
    <definedName name="\p" localSheetId="3">#REF!</definedName>
    <definedName name="\p" localSheetId="6">#REF!</definedName>
    <definedName name="\p" localSheetId="2">#REF!</definedName>
    <definedName name="\p">#REF!</definedName>
    <definedName name="\q" localSheetId="5">#REF!</definedName>
    <definedName name="\q" localSheetId="6">#REF!</definedName>
    <definedName name="\q">#REF!</definedName>
    <definedName name="\r" localSheetId="3">#N/A</definedName>
    <definedName name="\r">#N/A</definedName>
    <definedName name="\s" localSheetId="5">#REF!</definedName>
    <definedName name="\s" localSheetId="6">#REF!</definedName>
    <definedName name="\s">#REF!</definedName>
    <definedName name="_10_0_S" localSheetId="5" hidden="1">'[1]單價分析表(1-11)'!#REF!</definedName>
    <definedName name="_10_0_S" localSheetId="6" hidden="1">'[1]單價分析表(1-11)'!#REF!</definedName>
    <definedName name="_10_0_S" hidden="1">'[1]單價分析表(1-11)'!#REF!</definedName>
    <definedName name="_11a1_" localSheetId="3" hidden="1">'[2]單價分析表(1-11)'!#REF!</definedName>
    <definedName name="_11a4_" localSheetId="5">#REF!</definedName>
    <definedName name="_11a4_" localSheetId="6">#REF!</definedName>
    <definedName name="_11a4_">#REF!</definedName>
    <definedName name="_13a6_" localSheetId="5">#REF!</definedName>
    <definedName name="_13a6_" localSheetId="6">#REF!</definedName>
    <definedName name="_13a6_">#REF!</definedName>
    <definedName name="_15a1_" localSheetId="2" hidden="1">'[2]單價分析表(1-11)'!#REF!</definedName>
    <definedName name="_15cr1_" localSheetId="5">[3]工程預算書!#REF!</definedName>
    <definedName name="_15cr1_" localSheetId="6">[3]工程預算書!#REF!</definedName>
    <definedName name="_15cr1_">[3]工程預算書!#REF!</definedName>
    <definedName name="_17a1_" localSheetId="5" hidden="1">'[2]單價分析表(1-11)'!#REF!</definedName>
    <definedName name="_17a1_" localSheetId="6" hidden="1">'[2]單價分析表(1-11)'!#REF!</definedName>
    <definedName name="_17a1_" hidden="1">'[2]單價分析表(1-11)'!#REF!</definedName>
    <definedName name="_17z1_" localSheetId="5">#REF!</definedName>
    <definedName name="_17z1_" localSheetId="6">#REF!</definedName>
    <definedName name="_17z1_">#REF!</definedName>
    <definedName name="_18a2_" localSheetId="3">[4]工程預算書!#REF!</definedName>
    <definedName name="_19z2_" localSheetId="5">#REF!</definedName>
    <definedName name="_19z2_" localSheetId="6">#REF!</definedName>
    <definedName name="_19z2_">#REF!</definedName>
    <definedName name="_1S" localSheetId="5" hidden="1">'[1]單價分析表(1-11)'!#REF!</definedName>
    <definedName name="_1S" localSheetId="6" hidden="1">'[1]單價分析表(1-11)'!#REF!</definedName>
    <definedName name="_1S" hidden="1">'[1]單價分析表(1-11)'!#REF!</definedName>
    <definedName name="_2_0_S" localSheetId="3" hidden="1">'[1]單價分析表(1-11)'!#REF!</definedName>
    <definedName name="_22a2_" localSheetId="2">[4]工程預算書!#REF!</definedName>
    <definedName name="_24a2_" localSheetId="5">[4]工程預算書!#REF!</definedName>
    <definedName name="_24a2_" localSheetId="6">[4]工程預算書!#REF!</definedName>
    <definedName name="_24a2_">[4]工程預算書!#REF!</definedName>
    <definedName name="_25a3_" localSheetId="3">[5]工程預算書!#REF!</definedName>
    <definedName name="_29a3_" localSheetId="2">[5]工程預算書!#REF!</definedName>
    <definedName name="_3_0_S" localSheetId="5" hidden="1">'[1]單價分析表(1-11)'!#REF!</definedName>
    <definedName name="_3_0_S" localSheetId="3" hidden="1">'[1]單價分析表(1-11)'!#REF!</definedName>
    <definedName name="_3_0_S" localSheetId="6" hidden="1">'[1]單價分析表(1-11)'!#REF!</definedName>
    <definedName name="_3_0_S" hidden="1">'[1]單價分析表(1-11)'!#REF!</definedName>
    <definedName name="_31a3_" localSheetId="5">[5]工程預算書!#REF!</definedName>
    <definedName name="_31a3_" localSheetId="6">[5]工程預算書!#REF!</definedName>
    <definedName name="_31a3_">[5]工程預算書!#REF!</definedName>
    <definedName name="_32a4_" localSheetId="3">#REF!</definedName>
    <definedName name="_36a4_" localSheetId="2">#REF!</definedName>
    <definedName name="_38a4_" localSheetId="5">#REF!</definedName>
    <definedName name="_38a4_" localSheetId="6">#REF!</definedName>
    <definedName name="_38a4_">#REF!</definedName>
    <definedName name="_39a6_" localSheetId="3">#REF!</definedName>
    <definedName name="_43a6_" localSheetId="2">#REF!</definedName>
    <definedName name="_45a6_" localSheetId="5">#REF!</definedName>
    <definedName name="_45a6_" localSheetId="6">#REF!</definedName>
    <definedName name="_45a6_">#REF!</definedName>
    <definedName name="_46cr1_" localSheetId="3">[6]工程預算書!#REF!</definedName>
    <definedName name="_50cr1_" localSheetId="2">[7]工程預算書!#REF!</definedName>
    <definedName name="_52cr1_" localSheetId="5">[3]工程預算書!#REF!</definedName>
    <definedName name="_52cr1_" localSheetId="6">[3]工程預算書!#REF!</definedName>
    <definedName name="_52cr1_">[3]工程預算書!#REF!</definedName>
    <definedName name="_53z1_" localSheetId="3">#REF!</definedName>
    <definedName name="_57z1_" localSheetId="2">#REF!</definedName>
    <definedName name="_59z1_" localSheetId="5">#REF!</definedName>
    <definedName name="_59z1_" localSheetId="6">#REF!</definedName>
    <definedName name="_59z1_">#REF!</definedName>
    <definedName name="_5a1_" localSheetId="5" hidden="1">'[2]單價分析表(1-11)'!#REF!</definedName>
    <definedName name="_5a1_" localSheetId="6" hidden="1">'[2]單價分析表(1-11)'!#REF!</definedName>
    <definedName name="_5a1_" hidden="1">'[2]單價分析表(1-11)'!#REF!</definedName>
    <definedName name="_60z2_" localSheetId="3">#REF!</definedName>
    <definedName name="_64z2_" localSheetId="2">#REF!</definedName>
    <definedName name="_66z2_" localSheetId="5">#REF!</definedName>
    <definedName name="_66z2_" localSheetId="6">#REF!</definedName>
    <definedName name="_66z2_">#REF!</definedName>
    <definedName name="_7_0_S" localSheetId="2" hidden="1">'[1]單價分析表(1-11)'!#REF!</definedName>
    <definedName name="_7a2_" localSheetId="5">[4]工程預算書!#REF!</definedName>
    <definedName name="_7a2_" localSheetId="6">[4]工程預算書!#REF!</definedName>
    <definedName name="_7a2_">[4]工程預算書!#REF!</definedName>
    <definedName name="_9_0_S" localSheetId="5" hidden="1">'[1]單價分析表(1-11)'!#REF!</definedName>
    <definedName name="_9_0_S" localSheetId="6" hidden="1">'[1]單價分析表(1-11)'!#REF!</definedName>
    <definedName name="_9_0_S" hidden="1">'[1]單價分析表(1-11)'!#REF!</definedName>
    <definedName name="_9a3_" localSheetId="5">[5]工程預算書!#REF!</definedName>
    <definedName name="_9a3_" localSheetId="6">[5]工程預算書!#REF!</definedName>
    <definedName name="_9a3_">[5]工程預算書!#REF!</definedName>
    <definedName name="_ast1" localSheetId="5">#REF!</definedName>
    <definedName name="_ast1" localSheetId="3">#REF!</definedName>
    <definedName name="_ast1" localSheetId="6">#REF!</definedName>
    <definedName name="_ast1" localSheetId="2">#REF!</definedName>
    <definedName name="_ast1">#REF!</definedName>
    <definedName name="_c1" localSheetId="5">[8]計算工作表!#REF!</definedName>
    <definedName name="_c1" localSheetId="3">[9]計算工作表!#REF!</definedName>
    <definedName name="_c1" localSheetId="6">[8]計算工作表!#REF!</definedName>
    <definedName name="_c1" localSheetId="2">[9]計算工作表!#REF!</definedName>
    <definedName name="_c1">[8]計算工作表!#REF!</definedName>
    <definedName name="_Fill" localSheetId="5" hidden="1">#REF!</definedName>
    <definedName name="_Fill" localSheetId="3" hidden="1">#REF!</definedName>
    <definedName name="_Fill" localSheetId="6" hidden="1">#REF!</definedName>
    <definedName name="_Fill" localSheetId="2" hidden="1">#REF!</definedName>
    <definedName name="_Fill" hidden="1">#REF!</definedName>
    <definedName name="_xlnm._FilterDatabase" localSheetId="5" hidden="1">#REF!</definedName>
    <definedName name="_xlnm._FilterDatabase" localSheetId="3" hidden="1">#REF!</definedName>
    <definedName name="_xlnm._FilterDatabase" localSheetId="6" hidden="1">#REF!</definedName>
    <definedName name="_xlnm._FilterDatabase" hidden="1">#REF!</definedName>
    <definedName name="_g1" localSheetId="5">[8]計算工作表!#REF!</definedName>
    <definedName name="_g1" localSheetId="3">[9]計算工作表!#REF!</definedName>
    <definedName name="_g1" localSheetId="6">[8]計算工作表!#REF!</definedName>
    <definedName name="_g1" localSheetId="2">[9]計算工作表!#REF!</definedName>
    <definedName name="_g1">[8]計算工作表!#REF!</definedName>
    <definedName name="_g2" localSheetId="5">[8]計算工作表!#REF!</definedName>
    <definedName name="_g2" localSheetId="3">[9]計算工作表!#REF!</definedName>
    <definedName name="_g2" localSheetId="6">[8]計算工作表!#REF!</definedName>
    <definedName name="_g2" localSheetId="2">[9]計算工作表!#REF!</definedName>
    <definedName name="_g2">[8]計算工作表!#REF!</definedName>
    <definedName name="_j123" localSheetId="5">[8]計算工作表!#REF!</definedName>
    <definedName name="_j123" localSheetId="3">[9]計算工作表!#REF!</definedName>
    <definedName name="_j123" localSheetId="6">[8]計算工作表!#REF!</definedName>
    <definedName name="_j123" localSheetId="2">[9]計算工作表!#REF!</definedName>
    <definedName name="_j123">[8]計算工作表!#REF!</definedName>
    <definedName name="_j129" localSheetId="5">[8]計算工作表!#REF!</definedName>
    <definedName name="_j129" localSheetId="3">[9]計算工作表!#REF!</definedName>
    <definedName name="_j129" localSheetId="6">[8]計算工作表!#REF!</definedName>
    <definedName name="_j129" localSheetId="2">[9]計算工作表!#REF!</definedName>
    <definedName name="_j129">[8]計算工作表!#REF!</definedName>
    <definedName name="_ke1" localSheetId="5" hidden="1">'[10]單價分析表(1-11)'!#REF!</definedName>
    <definedName name="_ke1" localSheetId="3" hidden="1">'[10]單價分析表(1-11)'!#REF!</definedName>
    <definedName name="_ke1" localSheetId="6" hidden="1">'[10]單價分析表(1-11)'!#REF!</definedName>
    <definedName name="_ke1" localSheetId="2" hidden="1">'[10]單價分析表(1-11)'!#REF!</definedName>
    <definedName name="_ke1" hidden="1">'[10]單價分析表(1-11)'!#REF!</definedName>
    <definedName name="_Key1" localSheetId="5" hidden="1">'[11]單價分析表(1-11)'!#REF!</definedName>
    <definedName name="_Key1" localSheetId="3" hidden="1">'[10]單價分析表(1-11)'!#REF!</definedName>
    <definedName name="_Key1" localSheetId="6" hidden="1">'[11]單價分析表(1-11)'!#REF!</definedName>
    <definedName name="_Key1" localSheetId="2" hidden="1">'[10]單價分析表(1-11)'!#REF!</definedName>
    <definedName name="_Key1" hidden="1">'[11]單價分析表(1-11)'!#REF!</definedName>
    <definedName name="_key2" localSheetId="5" hidden="1">[12]Sheet2!#REF!</definedName>
    <definedName name="_key2" localSheetId="3" hidden="1">'[13]單價分析表(1-11)'!#REF!</definedName>
    <definedName name="_key2" localSheetId="6" hidden="1">[12]Sheet2!#REF!</definedName>
    <definedName name="_key2" localSheetId="1" hidden="1">[14]Sheet2!#REF!</definedName>
    <definedName name="_key2" localSheetId="2" hidden="1">'[13]單價分析表(1-11)'!#REF!</definedName>
    <definedName name="_key2" hidden="1">[12]Sheet2!#REF!</definedName>
    <definedName name="_key222" localSheetId="5" hidden="1">'[15]單價分析表(1-11)'!#REF!</definedName>
    <definedName name="_key222" localSheetId="3" hidden="1">'[15]單價分析表(1-11)'!#REF!</definedName>
    <definedName name="_key222" localSheetId="6" hidden="1">'[15]單價分析表(1-11)'!#REF!</definedName>
    <definedName name="_key222" localSheetId="2" hidden="1">'[15]單價分析表(1-11)'!#REF!</definedName>
    <definedName name="_key222" hidden="1">'[15]單價分析表(1-11)'!#REF!</definedName>
    <definedName name="_key3" localSheetId="5" hidden="1">'[16]單價分析表(1-11)'!#REF!</definedName>
    <definedName name="_key3" localSheetId="3" hidden="1">'[17]單價分析表(1-11)'!#REF!</definedName>
    <definedName name="_key3" localSheetId="6" hidden="1">'[16]單價分析表(1-11)'!#REF!</definedName>
    <definedName name="_key3" hidden="1">'[16]單價分析表(1-11)'!#REF!</definedName>
    <definedName name="_kk1" localSheetId="5" hidden="1">'[18]單價分析表(1-11)'!#REF!</definedName>
    <definedName name="_kk1" localSheetId="3" hidden="1">'[19]單價分析表(1-11)'!#REF!</definedName>
    <definedName name="_kk1" localSheetId="6" hidden="1">'[18]單價分析表(1-11)'!#REF!</definedName>
    <definedName name="_kk1" localSheetId="2" hidden="1">'[20]單價分析表(1-11)'!#REF!</definedName>
    <definedName name="_kk1" hidden="1">'[18]單價分析表(1-11)'!#REF!</definedName>
    <definedName name="_mch1" localSheetId="5">#REF!</definedName>
    <definedName name="_mch1" localSheetId="6">#REF!</definedName>
    <definedName name="_mch1">#REF!</definedName>
    <definedName name="_Order1" hidden="1">255</definedName>
    <definedName name="_Regression_Int" hidden="1">1</definedName>
    <definedName name="_Regression_Out" localSheetId="5" hidden="1">#REF!</definedName>
    <definedName name="_Regression_Out" localSheetId="6" hidden="1">#REF!</definedName>
    <definedName name="_Regression_Out" hidden="1">#REF!</definedName>
    <definedName name="_Regression_X" localSheetId="5" hidden="1">#REF!</definedName>
    <definedName name="_Regression_X" localSheetId="6" hidden="1">#REF!</definedName>
    <definedName name="_Regression_X" hidden="1">#REF!</definedName>
    <definedName name="_Regression_Y" localSheetId="5" hidden="1">#REF!</definedName>
    <definedName name="_Regression_Y" localSheetId="6" hidden="1">#REF!</definedName>
    <definedName name="_Regression_Y" hidden="1">#REF!</definedName>
    <definedName name="_s4" localSheetId="5">[8]計算工作表!#REF!</definedName>
    <definedName name="_s4" localSheetId="3">[9]計算工作表!#REF!</definedName>
    <definedName name="_s4" localSheetId="6">[8]計算工作表!#REF!</definedName>
    <definedName name="_s4" localSheetId="2">[9]計算工作表!#REF!</definedName>
    <definedName name="_s4">[8]計算工作表!#REF!</definedName>
    <definedName name="_Sort" localSheetId="5" hidden="1">'[11]單價分析表(1-11)'!#REF!</definedName>
    <definedName name="_Sort" localSheetId="3" hidden="1">'[10]單價分析表(1-11)'!#REF!</definedName>
    <definedName name="_Sort" localSheetId="6" hidden="1">'[11]單價分析表(1-11)'!#REF!</definedName>
    <definedName name="_Sort" localSheetId="2" hidden="1">'[10]單價分析表(1-11)'!#REF!</definedName>
    <definedName name="_Sort" hidden="1">'[11]單價分析表(1-11)'!#REF!</definedName>
    <definedName name="_sort2" localSheetId="5" hidden="1">'[13]單價分析表(1-11)'!#REF!</definedName>
    <definedName name="_sort2" localSheetId="6" hidden="1">'[13]單價分析表(1-11)'!#REF!</definedName>
    <definedName name="_sort2" hidden="1">'[13]單價分析表(1-11)'!#REF!</definedName>
    <definedName name="_ss1" localSheetId="5" hidden="1">'[18]單價分析表(1-11)'!#REF!</definedName>
    <definedName name="_ss1" localSheetId="3" hidden="1">'[19]單價分析表(1-11)'!#REF!</definedName>
    <definedName name="_ss1" localSheetId="6" hidden="1">'[18]單價分析表(1-11)'!#REF!</definedName>
    <definedName name="_ss1" localSheetId="2" hidden="1">'[20]單價分析表(1-11)'!#REF!</definedName>
    <definedName name="_ss1" hidden="1">'[18]單價分析表(1-11)'!#REF!</definedName>
    <definedName name="_ste1" localSheetId="5">#REF!</definedName>
    <definedName name="_ste1" localSheetId="3">#REF!</definedName>
    <definedName name="_ste1" localSheetId="6">#REF!</definedName>
    <definedName name="_ste1" localSheetId="2">#REF!</definedName>
    <definedName name="_ste1">#REF!</definedName>
    <definedName name="_su1" localSheetId="5">#REF!</definedName>
    <definedName name="_su1" localSheetId="6">#REF!</definedName>
    <definedName name="_su1">#REF!</definedName>
    <definedName name="_su2" localSheetId="5">#REF!</definedName>
    <definedName name="_su2" localSheetId="6">#REF!</definedName>
    <definedName name="_su2">#REF!</definedName>
    <definedName name="_su3" localSheetId="5">#REF!</definedName>
    <definedName name="_su3" localSheetId="6">#REF!</definedName>
    <definedName name="_su3">#REF!</definedName>
    <definedName name="_su4" localSheetId="5">#REF!</definedName>
    <definedName name="_su4" localSheetId="6">#REF!</definedName>
    <definedName name="_su4">#REF!</definedName>
    <definedName name="_Table1_In1" localSheetId="5" hidden="1">#REF!</definedName>
    <definedName name="_Table1_In1" localSheetId="6" hidden="1">#REF!</definedName>
    <definedName name="_Table1_In1" hidden="1">#REF!</definedName>
    <definedName name="_Table1_Out" localSheetId="5" hidden="1">#REF!</definedName>
    <definedName name="_Table1_Out" localSheetId="6" hidden="1">#REF!</definedName>
    <definedName name="_Table1_Out" hidden="1">#REF!</definedName>
    <definedName name="_tt1" localSheetId="5">[21]工程預算書!#REF!</definedName>
    <definedName name="_tt1" localSheetId="6">[21]工程預算書!#REF!</definedName>
    <definedName name="_tt1">[21]工程預算書!#REF!</definedName>
    <definedName name="_ULA1" localSheetId="5">[22]工程計算表!#REF!</definedName>
    <definedName name="_ULA1" localSheetId="3">[22]工程計算表!#REF!</definedName>
    <definedName name="_ULA1" localSheetId="6">[22]工程計算表!#REF!</definedName>
    <definedName name="_ULA1">[22]工程計算表!#REF!</definedName>
    <definedName name="_w1" localSheetId="5">[8]計算工作表!#REF!</definedName>
    <definedName name="_w1" localSheetId="3">[9]計算工作表!#REF!</definedName>
    <definedName name="_w1" localSheetId="6">[8]計算工作表!#REF!</definedName>
    <definedName name="_w1" localSheetId="2">[9]計算工作表!#REF!</definedName>
    <definedName name="_w1">[8]計算工作表!#REF!</definedName>
    <definedName name="a" localSheetId="5" hidden="1">'[23]單價分析表(1-11)'!#REF!</definedName>
    <definedName name="a" localSheetId="3">[24]工程預算書!#REF!</definedName>
    <definedName name="a" localSheetId="6" hidden="1">'[23]單價分析表(1-11)'!#REF!</definedName>
    <definedName name="a" localSheetId="2">[24]工程預算書!#REF!</definedName>
    <definedName name="a" hidden="1">'[23]單價分析表(1-11)'!#REF!</definedName>
    <definedName name="A1_" localSheetId="3">#N/A</definedName>
    <definedName name="A1_">#N/A</definedName>
    <definedName name="aa" localSheetId="5" hidden="1">[12]Sheet2!#REF!</definedName>
    <definedName name="aa" localSheetId="3">#REF!</definedName>
    <definedName name="aa" localSheetId="6" hidden="1">[12]Sheet2!#REF!</definedName>
    <definedName name="aa" localSheetId="1" hidden="1">[14]Sheet2!#REF!</definedName>
    <definedName name="aa" localSheetId="2">#REF!</definedName>
    <definedName name="aa" hidden="1">[12]Sheet2!#REF!</definedName>
    <definedName name="aaa" localSheetId="5" hidden="1">'[23]單價分析表(1-11)'!#REF!</definedName>
    <definedName name="AAA" localSheetId="3">'[25]結算明細表 (2)'!$B$1:$M$26</definedName>
    <definedName name="aaa" localSheetId="6" hidden="1">'[23]單價分析表(1-11)'!#REF!</definedName>
    <definedName name="AAA" localSheetId="2">'[25]結算明細表 (2)'!$B$1:$M$26</definedName>
    <definedName name="aaa" hidden="1">'[23]單價分析表(1-11)'!#REF!</definedName>
    <definedName name="AAFY" localSheetId="5">[26]總表!#REF!</definedName>
    <definedName name="AAFY" localSheetId="6">[26]總表!#REF!</definedName>
    <definedName name="AAFY">[26]總表!#REF!</definedName>
    <definedName name="ac" localSheetId="5">[23]工程預算書!#REF!</definedName>
    <definedName name="ac" localSheetId="3">[27]工程預算書!#REF!</definedName>
    <definedName name="ac" localSheetId="6">[23]工程預算書!#REF!</definedName>
    <definedName name="ac" localSheetId="2">[27]工程預算書!#REF!</definedName>
    <definedName name="ac">[23]工程預算書!#REF!</definedName>
    <definedName name="ad" localSheetId="5" hidden="1">'[23]單價分析表(1-11)'!#REF!</definedName>
    <definedName name="ad" localSheetId="3" hidden="1">'[27]單價分析表(1-11)'!#REF!</definedName>
    <definedName name="ad" localSheetId="6" hidden="1">'[23]單價分析表(1-11)'!#REF!</definedName>
    <definedName name="ad" localSheetId="2" hidden="1">'[27]單價分析表(1-11)'!#REF!</definedName>
    <definedName name="ad" hidden="1">'[23]單價分析表(1-11)'!#REF!</definedName>
    <definedName name="ae" localSheetId="5">#REF!</definedName>
    <definedName name="ae" localSheetId="6">#REF!</definedName>
    <definedName name="ae">#REF!</definedName>
    <definedName name="AN" localSheetId="5">#REF!</definedName>
    <definedName name="AN" localSheetId="3">#REF!</definedName>
    <definedName name="AN" localSheetId="6">#REF!</definedName>
    <definedName name="AN" localSheetId="2">#REF!</definedName>
    <definedName name="AN">#REF!</definedName>
    <definedName name="AP" localSheetId="5">#REF!</definedName>
    <definedName name="AP" localSheetId="3">#REF!</definedName>
    <definedName name="AP" localSheetId="6">#REF!</definedName>
    <definedName name="AP" localSheetId="2">#REF!</definedName>
    <definedName name="AP">#REF!</definedName>
    <definedName name="asd" localSheetId="5" hidden="1">'[28]工程預算書 '!#REF!</definedName>
    <definedName name="asd" localSheetId="3" hidden="1">'[28]工程預算書 '!#REF!</definedName>
    <definedName name="asd" localSheetId="6" hidden="1">'[28]工程預算書 '!#REF!</definedName>
    <definedName name="asd" hidden="1">'[28]工程預算書 '!#REF!</definedName>
    <definedName name="auto" localSheetId="5">#REF!</definedName>
    <definedName name="auto" localSheetId="6">#REF!</definedName>
    <definedName name="auto">#REF!</definedName>
    <definedName name="A區資料篩選" localSheetId="5">[29]!A區資料篩選</definedName>
    <definedName name="A區資料篩選" localSheetId="6">[29]!A區資料篩選</definedName>
    <definedName name="A區資料篩選">[29]!A區資料篩選</definedName>
    <definedName name="A護N" localSheetId="5">#REF!</definedName>
    <definedName name="A護N" localSheetId="3">#REF!</definedName>
    <definedName name="A護N" localSheetId="6">#REF!</definedName>
    <definedName name="A護N" localSheetId="2">#REF!</definedName>
    <definedName name="A護N">#REF!</definedName>
    <definedName name="A護P" localSheetId="5">#REF!</definedName>
    <definedName name="A護P" localSheetId="3">#REF!</definedName>
    <definedName name="A護P" localSheetId="6">#REF!</definedName>
    <definedName name="A護P" localSheetId="2">#REF!</definedName>
    <definedName name="A護P">#REF!</definedName>
    <definedName name="b" localSheetId="5" hidden="1">'[30]單價分析表(1-11)'!#REF!</definedName>
    <definedName name="b" localSheetId="3" hidden="1">'[31]單價分析表(1-11)'!#REF!</definedName>
    <definedName name="b" localSheetId="6" hidden="1">'[30]單價分析表(1-11)'!#REF!</definedName>
    <definedName name="b" localSheetId="2" hidden="1">'[32]單價分析表(1-11)'!#REF!</definedName>
    <definedName name="b" hidden="1">'[30]單價分析表(1-11)'!#REF!</definedName>
    <definedName name="BASE" localSheetId="5" hidden="1">#REF!</definedName>
    <definedName name="BASE" localSheetId="3" hidden="1">#REF!</definedName>
    <definedName name="BASE" localSheetId="6" hidden="1">#REF!</definedName>
    <definedName name="BASE" hidden="1">#REF!</definedName>
    <definedName name="BN" localSheetId="5">#REF!</definedName>
    <definedName name="BN" localSheetId="3">#REF!</definedName>
    <definedName name="BN" localSheetId="6">#REF!</definedName>
    <definedName name="BN" localSheetId="2">#REF!</definedName>
    <definedName name="BN">#REF!</definedName>
    <definedName name="BP" localSheetId="5">#REF!</definedName>
    <definedName name="BP" localSheetId="3">#REF!</definedName>
    <definedName name="BP" localSheetId="6">#REF!</definedName>
    <definedName name="BP" localSheetId="2">#REF!</definedName>
    <definedName name="BP">#REF!</definedName>
    <definedName name="bv" localSheetId="5">#REF!</definedName>
    <definedName name="bv" localSheetId="3">#REF!</definedName>
    <definedName name="bv" localSheetId="6">#REF!</definedName>
    <definedName name="bv" localSheetId="2">#REF!</definedName>
    <definedName name="bv">#REF!</definedName>
    <definedName name="B區資料篩選" localSheetId="5">[29]!B區資料篩選</definedName>
    <definedName name="B區資料篩選" localSheetId="6">[29]!B區資料篩選</definedName>
    <definedName name="B區資料篩選">[29]!B區資料篩選</definedName>
    <definedName name="B護N" localSheetId="5">#REF!</definedName>
    <definedName name="B護N" localSheetId="3">#REF!</definedName>
    <definedName name="B護N" localSheetId="6">#REF!</definedName>
    <definedName name="B護N" localSheetId="2">#REF!</definedName>
    <definedName name="B護N">#REF!</definedName>
    <definedName name="B護P" localSheetId="5">#REF!</definedName>
    <definedName name="B護P" localSheetId="3">#REF!</definedName>
    <definedName name="B護P" localSheetId="6">#REF!</definedName>
    <definedName name="B護P" localSheetId="2">#REF!</definedName>
    <definedName name="B護P">#REF!</definedName>
    <definedName name="CA" localSheetId="5">[33]鋼筋數量表!#REF!</definedName>
    <definedName name="CA" localSheetId="3">[34]鋼筋數量表!#REF!</definedName>
    <definedName name="CA" localSheetId="6">[33]鋼筋數量表!#REF!</definedName>
    <definedName name="CA">[33]鋼筋數量表!#REF!</definedName>
    <definedName name="cal1b">[26]計1!$B$7:$B$46</definedName>
    <definedName name="CAL1G">[26]計1!$G$7:$G$46</definedName>
    <definedName name="cal2b">[26]計2!$B$47:$B$86</definedName>
    <definedName name="CAL2G">[26]計2!$G$47:$G$86</definedName>
    <definedName name="cal3b">[26]計3!$B$87:$B$126</definedName>
    <definedName name="CAL3G">[26]計3!$G$87:$G$126</definedName>
    <definedName name="cal4b">[26]計4!$B$127:$B$166</definedName>
    <definedName name="CAL4G">[26]計4!$G$127:$G$166</definedName>
    <definedName name="CB" localSheetId="5">[33]鋼筋數量表!#REF!</definedName>
    <definedName name="CB" localSheetId="3">[34]鋼筋數量表!#REF!</definedName>
    <definedName name="CB" localSheetId="6">[33]鋼筋數量表!#REF!</definedName>
    <definedName name="CB">[33]鋼筋數量表!#REF!</definedName>
    <definedName name="CC" localSheetId="5">[33]鋼筋數量表!#REF!</definedName>
    <definedName name="CC" localSheetId="3">[34]鋼筋數量表!#REF!</definedName>
    <definedName name="CC" localSheetId="6">[33]鋼筋數量表!#REF!</definedName>
    <definedName name="CC">[33]鋼筋數量表!#REF!</definedName>
    <definedName name="CCL" localSheetId="5">#REF!</definedName>
    <definedName name="CCL" localSheetId="6">#REF!</definedName>
    <definedName name="CCL">#REF!</definedName>
    <definedName name="CD" localSheetId="5">[33]鋼筋數量表!#REF!</definedName>
    <definedName name="CD" localSheetId="3">[34]鋼筋數量表!#REF!</definedName>
    <definedName name="CD" localSheetId="6">[33]鋼筋數量表!#REF!</definedName>
    <definedName name="CD">[33]鋼筋數量表!#REF!</definedName>
    <definedName name="cd_5" localSheetId="5">#REF!</definedName>
    <definedName name="cd_5" localSheetId="6">#REF!</definedName>
    <definedName name="cd_5">#REF!</definedName>
    <definedName name="CE" localSheetId="5">[33]鋼筋數量表!#REF!</definedName>
    <definedName name="CE" localSheetId="3">[34]鋼筋數量表!#REF!</definedName>
    <definedName name="CE" localSheetId="6">[33]鋼筋數量表!#REF!</definedName>
    <definedName name="CE">[33]鋼筋數量表!#REF!</definedName>
    <definedName name="CF" localSheetId="5">[33]鋼筋數量表!#REF!</definedName>
    <definedName name="CF" localSheetId="3">[34]鋼筋數量表!#REF!</definedName>
    <definedName name="CF" localSheetId="6">[33]鋼筋數量表!#REF!</definedName>
    <definedName name="CF">[33]鋼筋數量表!#REF!</definedName>
    <definedName name="CN" localSheetId="5">#REF!</definedName>
    <definedName name="CN" localSheetId="3">#REF!</definedName>
    <definedName name="CN" localSheetId="6">#REF!</definedName>
    <definedName name="CN" localSheetId="2">#REF!</definedName>
    <definedName name="CN">#REF!</definedName>
    <definedName name="CP" localSheetId="5">#REF!</definedName>
    <definedName name="CP" localSheetId="3">[35]明細表!$B$2</definedName>
    <definedName name="CP" localSheetId="6">#REF!</definedName>
    <definedName name="CP" localSheetId="2">[35]明細表!$B$2</definedName>
    <definedName name="CP">#REF!</definedName>
    <definedName name="cut" localSheetId="5">[36]單價分析表!#REF!</definedName>
    <definedName name="cut" localSheetId="3">[36]單價分析表!#REF!</definedName>
    <definedName name="cut" localSheetId="6">[36]單價分析表!#REF!</definedName>
    <definedName name="cut">[36]單價分析表!#REF!</definedName>
    <definedName name="Cv" localSheetId="5">#REF!</definedName>
    <definedName name="Cv" localSheetId="6">#REF!</definedName>
    <definedName name="Cv">#REF!</definedName>
    <definedName name="C區資料篩選" localSheetId="5">[29]!C區資料篩選</definedName>
    <definedName name="C區資料篩選" localSheetId="6">[29]!C區資料篩選</definedName>
    <definedName name="C區資料篩選">[29]!C區資料篩選</definedName>
    <definedName name="d" localSheetId="5">[37]工程預算書!#REF!</definedName>
    <definedName name="D" localSheetId="3">#REF!</definedName>
    <definedName name="d" localSheetId="6">[37]工程預算書!#REF!</definedName>
    <definedName name="D" localSheetId="2">#REF!</definedName>
    <definedName name="d">[37]工程預算書!#REF!</definedName>
    <definedName name="D1鋁門_90_270_中華鋁門香檳色1000型或正字同格品" localSheetId="5">#REF!</definedName>
    <definedName name="D1鋁門_90_270_中華鋁門香檳色1000型或正字同格品" localSheetId="3">#REF!</definedName>
    <definedName name="D1鋁門_90_270_中華鋁門香檳色1000型或正字同格品" localSheetId="6">#REF!</definedName>
    <definedName name="D1鋁門_90_270_中華鋁門香檳色1000型或正字同格品" localSheetId="2">#REF!</definedName>
    <definedName name="D1鋁門_90_270_中華鋁門香檳色1000型或正字同格品">#REF!</definedName>
    <definedName name="D4鋁門_1100_210_中華鋁門香檳色1000型或正字同格品" localSheetId="5">#REF!</definedName>
    <definedName name="D4鋁門_1100_210_中華鋁門香檳色1000型或正字同格品" localSheetId="3">#REF!</definedName>
    <definedName name="D4鋁門_1100_210_中華鋁門香檳色1000型或正字同格品" localSheetId="6">#REF!</definedName>
    <definedName name="D4鋁門_1100_210_中華鋁門香檳色1000型或正字同格品" localSheetId="2">#REF!</definedName>
    <definedName name="D4鋁門_1100_210_中華鋁門香檳色1000型或正字同格品">#REF!</definedName>
    <definedName name="D6鋁門_80_160_鋁門" localSheetId="5">#REF!</definedName>
    <definedName name="D6鋁門_80_160_鋁門" localSheetId="3">#REF!</definedName>
    <definedName name="D6鋁門_80_160_鋁門" localSheetId="6">#REF!</definedName>
    <definedName name="D6鋁門_80_160_鋁門" localSheetId="2">#REF!</definedName>
    <definedName name="D6鋁門_80_160_鋁門">#REF!</definedName>
    <definedName name="dasf" localSheetId="5">[12]Sheet3!#REF!</definedName>
    <definedName name="dasf" localSheetId="3">[38]工程預算書!#REF!</definedName>
    <definedName name="dasf" localSheetId="6">[12]Sheet3!#REF!</definedName>
    <definedName name="dasf" localSheetId="1">[14]Sheet3!#REF!</definedName>
    <definedName name="dasf" localSheetId="2">[38]工程預算書!#REF!</definedName>
    <definedName name="dasf">[12]Sheet3!#REF!</definedName>
    <definedName name="date" localSheetId="5">#REF!</definedName>
    <definedName name="date" localSheetId="6">#REF!</definedName>
    <definedName name="date">#REF!</definedName>
    <definedName name="DATEA" localSheetId="5">[26]總表!#REF!</definedName>
    <definedName name="DATEA" localSheetId="6">[26]總表!#REF!</definedName>
    <definedName name="DATEA">[26]總表!#REF!</definedName>
    <definedName name="DATEB" localSheetId="5">[26]總表!#REF!</definedName>
    <definedName name="DATEB" localSheetId="6">[26]總表!#REF!</definedName>
    <definedName name="DATEB">[26]總表!#REF!</definedName>
    <definedName name="DATEC" localSheetId="5">[26]總表!#REF!</definedName>
    <definedName name="DATEC" localSheetId="6">[26]總表!#REF!</definedName>
    <definedName name="DATEC">[26]總表!#REF!</definedName>
    <definedName name="DATED" localSheetId="5">[26]總表!#REF!</definedName>
    <definedName name="DATED" localSheetId="6">[26]總表!#REF!</definedName>
    <definedName name="DATED">[26]總表!#REF!</definedName>
    <definedName name="DATEE" localSheetId="5">[26]總表!#REF!</definedName>
    <definedName name="DATEE" localSheetId="6">[26]總表!#REF!</definedName>
    <definedName name="DATEE">[26]總表!#REF!</definedName>
    <definedName name="DATEF" localSheetId="5">[26]總表!#REF!</definedName>
    <definedName name="DATEF" localSheetId="6">[26]總表!#REF!</definedName>
    <definedName name="DATEF">[26]總表!#REF!</definedName>
    <definedName name="DATEG" localSheetId="5">[26]總表!#REF!</definedName>
    <definedName name="DATEG" localSheetId="6">[26]總表!#REF!</definedName>
    <definedName name="DATEG">[26]總表!#REF!</definedName>
    <definedName name="ddd" localSheetId="5">#REF!</definedName>
    <definedName name="ddd" localSheetId="6">#REF!</definedName>
    <definedName name="ddd">#REF!</definedName>
    <definedName name="ddv" localSheetId="5">#REF!</definedName>
    <definedName name="ddv" localSheetId="6">#REF!</definedName>
    <definedName name="ddv">#REF!</definedName>
    <definedName name="DI鋁門_410_270_中華鋁門香檳色1000型或正字同格品" localSheetId="5">#REF!</definedName>
    <definedName name="DI鋁門_410_270_中華鋁門香檳色1000型或正字同格品" localSheetId="3">#REF!</definedName>
    <definedName name="DI鋁門_410_270_中華鋁門香檳色1000型或正字同格品" localSheetId="6">#REF!</definedName>
    <definedName name="DI鋁門_410_270_中華鋁門香檳色1000型或正字同格品" localSheetId="2">#REF!</definedName>
    <definedName name="DI鋁門_410_270_中華鋁門香檳色1000型或正字同格品">#REF!</definedName>
    <definedName name="drgxrtyhrd" localSheetId="5">#REF!</definedName>
    <definedName name="drgxrtyhrd" localSheetId="6">#REF!</definedName>
    <definedName name="drgxrtyhrd">#REF!</definedName>
    <definedName name="drtydrutyutfjftyjtytj" localSheetId="5">#REF!</definedName>
    <definedName name="drtydrutyutfjftyjtytj" localSheetId="3">#REF!</definedName>
    <definedName name="drtydrutyutfjftyjtytj" localSheetId="6">#REF!</definedName>
    <definedName name="drtydrutyutfjftyjtytj">#REF!</definedName>
    <definedName name="dsf" localSheetId="5">#REF!</definedName>
    <definedName name="dsf" localSheetId="3">#REF!</definedName>
    <definedName name="dsf" localSheetId="6">#REF!</definedName>
    <definedName name="dsf" localSheetId="2">#REF!</definedName>
    <definedName name="dsf">#REF!</definedName>
    <definedName name="duct" localSheetId="5">#REF!</definedName>
    <definedName name="duct" localSheetId="3">#REF!</definedName>
    <definedName name="duct" localSheetId="6">#REF!</definedName>
    <definedName name="duct">#REF!</definedName>
    <definedName name="D區資料篩選" localSheetId="5">[29]!D區資料篩選</definedName>
    <definedName name="D區資料篩選" localSheetId="6">[29]!D區資料篩選</definedName>
    <definedName name="D區資料篩選">[29]!D區資料篩選</definedName>
    <definedName name="E" localSheetId="5">#REF!</definedName>
    <definedName name="E" localSheetId="3">#REF!</definedName>
    <definedName name="E" localSheetId="6">#REF!</definedName>
    <definedName name="E" localSheetId="2">#REF!</definedName>
    <definedName name="E">#REF!</definedName>
    <definedName name="eee" localSheetId="5">[23]工程預算書!#REF!</definedName>
    <definedName name="eee" localSheetId="3">[27]工程預算書!#REF!</definedName>
    <definedName name="eee" localSheetId="6">[23]工程預算書!#REF!</definedName>
    <definedName name="eee" localSheetId="2">[27]工程預算書!#REF!</definedName>
    <definedName name="eee">[23]工程預算書!#REF!</definedName>
    <definedName name="el" localSheetId="5">#REF!</definedName>
    <definedName name="el" localSheetId="6">#REF!</definedName>
    <definedName name="el">#REF!</definedName>
    <definedName name="ele" localSheetId="5">#REF!</definedName>
    <definedName name="ele" localSheetId="6">#REF!</definedName>
    <definedName name="ele">#REF!</definedName>
    <definedName name="en" localSheetId="5">#REF!</definedName>
    <definedName name="en" localSheetId="6">#REF!</definedName>
    <definedName name="en">#REF!</definedName>
    <definedName name="eng" localSheetId="5">#REF!</definedName>
    <definedName name="eng" localSheetId="6">#REF!</definedName>
    <definedName name="eng">#REF!</definedName>
    <definedName name="ep" localSheetId="5">#REF!</definedName>
    <definedName name="ep" localSheetId="6">#REF!</definedName>
    <definedName name="ep">#REF!</definedName>
    <definedName name="etjsew4gsy453248563483" localSheetId="5">#REF!</definedName>
    <definedName name="etjsew4gsy453248563483" localSheetId="3">#REF!</definedName>
    <definedName name="etjsew4gsy453248563483" localSheetId="6">#REF!</definedName>
    <definedName name="etjsew4gsy453248563483">#REF!</definedName>
    <definedName name="F" localSheetId="5">#REF!</definedName>
    <definedName name="f" localSheetId="3">#REF!</definedName>
    <definedName name="F" localSheetId="6">#REF!</definedName>
    <definedName name="f" localSheetId="2">#REF!</definedName>
    <definedName name="F">#REF!</definedName>
    <definedName name="fdgfxcghgcykjgyukhuilhuil423453745" localSheetId="5">#REF!</definedName>
    <definedName name="fdgfxcghgcykjgyukhuilhuil423453745" localSheetId="6">#REF!</definedName>
    <definedName name="fdgfxcghgcykjgyukhuilhuil423453745">#REF!</definedName>
    <definedName name="FE" localSheetId="5" hidden="1">#REF!</definedName>
    <definedName name="FE" localSheetId="3" hidden="1">#REF!</definedName>
    <definedName name="FE" localSheetId="6" hidden="1">#REF!</definedName>
    <definedName name="FE" hidden="1">#REF!</definedName>
    <definedName name="ff" localSheetId="5" hidden="1">#REF!</definedName>
    <definedName name="ff" localSheetId="6" hidden="1">#REF!</definedName>
    <definedName name="ff" hidden="1">#REF!</definedName>
    <definedName name="fff" localSheetId="5" hidden="1">#REF!</definedName>
    <definedName name="fff" localSheetId="6" hidden="1">#REF!</definedName>
    <definedName name="fff" hidden="1">#REF!</definedName>
    <definedName name="ffff" localSheetId="5">#REF!</definedName>
    <definedName name="ffff" localSheetId="3">#REF!</definedName>
    <definedName name="ffff" localSheetId="6">#REF!</definedName>
    <definedName name="ffff" localSheetId="2">#REF!</definedName>
    <definedName name="ffff">#REF!</definedName>
    <definedName name="FM" localSheetId="5">#REF!</definedName>
    <definedName name="FM" localSheetId="6">#REF!</definedName>
    <definedName name="FM">#REF!</definedName>
    <definedName name="G" localSheetId="5">#REF!</definedName>
    <definedName name="G" localSheetId="6">#REF!</definedName>
    <definedName name="G">#REF!</definedName>
    <definedName name="G___P_" localSheetId="3">#N/A</definedName>
    <definedName name="G___P_">#N/A</definedName>
    <definedName name="GFFTF" localSheetId="5" hidden="1">'[39]工程預算書 '!#REF!</definedName>
    <definedName name="GFFTF" localSheetId="3" hidden="1">'[39]工程預算書 '!#REF!</definedName>
    <definedName name="GFFTF" localSheetId="6" hidden="1">'[39]工程預算書 '!#REF!</definedName>
    <definedName name="GFFTF" hidden="1">'[39]工程預算書 '!#REF!</definedName>
    <definedName name="gfthfghuoui453563" localSheetId="5">#REF!</definedName>
    <definedName name="gfthfghuoui453563" localSheetId="3">#REF!</definedName>
    <definedName name="gfthfghuoui453563" localSheetId="6">#REF!</definedName>
    <definedName name="gfthfghuoui453563">#REF!</definedName>
    <definedName name="GGG" localSheetId="5" hidden="1">'[40]工程預算書 '!#REF!</definedName>
    <definedName name="GGG" localSheetId="3" hidden="1">'[40]工程預算書 '!#REF!</definedName>
    <definedName name="GGG" localSheetId="6" hidden="1">'[40]工程預算書 '!#REF!</definedName>
    <definedName name="GGG" hidden="1">'[40]工程預算書 '!#REF!</definedName>
    <definedName name="H" localSheetId="5">#REF!</definedName>
    <definedName name="H" localSheetId="6">#REF!</definedName>
    <definedName name="H">#REF!</definedName>
    <definedName name="H1_" localSheetId="5">#REF!</definedName>
    <definedName name="H1_" localSheetId="6">#REF!</definedName>
    <definedName name="H1_">#REF!</definedName>
    <definedName name="H2_" localSheetId="5">#REF!</definedName>
    <definedName name="H2_" localSheetId="6">#REF!</definedName>
    <definedName name="H2_">#REF!</definedName>
    <definedName name="H3_" localSheetId="5">#REF!</definedName>
    <definedName name="H3_" localSheetId="6">#REF!</definedName>
    <definedName name="H3_">#REF!</definedName>
    <definedName name="holiday" localSheetId="5">#REF!</definedName>
    <definedName name="holiday" localSheetId="6">#REF!</definedName>
    <definedName name="holiday">#REF!</definedName>
    <definedName name="hung6862" localSheetId="5">#REF!</definedName>
    <definedName name="hung6862" localSheetId="6">#REF!</definedName>
    <definedName name="hung6862">#REF!</definedName>
    <definedName name="hung6862125423" localSheetId="5" hidden="1">'[11]單價分析表(1-11)'!#REF!</definedName>
    <definedName name="hung6862125423" localSheetId="3" hidden="1">'[11]單價分析表(1-11)'!#REF!</definedName>
    <definedName name="hung6862125423" localSheetId="6" hidden="1">'[11]單價分析表(1-11)'!#REF!</definedName>
    <definedName name="hung6862125423" hidden="1">'[11]單價分析表(1-11)'!#REF!</definedName>
    <definedName name="hung68652" localSheetId="5" hidden="1">'[41]單價分析表(1-11)'!#REF!</definedName>
    <definedName name="hung68652" localSheetId="3" hidden="1">'[42]單價分析表(1-11)'!#REF!</definedName>
    <definedName name="hung68652" localSheetId="6" hidden="1">'[41]單價分析表(1-11)'!#REF!</definedName>
    <definedName name="hung68652" hidden="1">'[41]單價分析表(1-11)'!#REF!</definedName>
    <definedName name="J" localSheetId="5">#REF!</definedName>
    <definedName name="J" localSheetId="6">#REF!</definedName>
    <definedName name="J">#REF!</definedName>
    <definedName name="jilukbyuckor56azq6ty453456343" localSheetId="5">[43]工程預算書!#REF!</definedName>
    <definedName name="jilukbyuckor56azq6ty453456343" localSheetId="3">[44]工程預算書!#REF!</definedName>
    <definedName name="jilukbyuckor56azq6ty453456343" localSheetId="6">[43]工程預算書!#REF!</definedName>
    <definedName name="jilukbyuckor56azq6ty453456343">[43]工程預算書!#REF!</definedName>
    <definedName name="K" localSheetId="5">#REF!</definedName>
    <definedName name="K" localSheetId="3">#REF!</definedName>
    <definedName name="K" localSheetId="6">#REF!</definedName>
    <definedName name="K">#REF!</definedName>
    <definedName name="key" localSheetId="5" hidden="1">[12]Sheet2!#REF!</definedName>
    <definedName name="key" localSheetId="3" hidden="1">'[45]單價分析表(1-11)'!#REF!</definedName>
    <definedName name="key" localSheetId="6" hidden="1">[12]Sheet2!#REF!</definedName>
    <definedName name="key" localSheetId="1" hidden="1">[14]Sheet2!#REF!</definedName>
    <definedName name="key" localSheetId="2" hidden="1">'[45]單價分析表(1-11)'!#REF!</definedName>
    <definedName name="key" hidden="1">[12]Sheet2!#REF!</definedName>
    <definedName name="L" localSheetId="5">#REF!</definedName>
    <definedName name="L" localSheetId="3">#REF!</definedName>
    <definedName name="L" localSheetId="6">#REF!</definedName>
    <definedName name="L">#REF!</definedName>
    <definedName name="M" localSheetId="5">#REF!</definedName>
    <definedName name="M" localSheetId="3">#REF!</definedName>
    <definedName name="M" localSheetId="6">#REF!</definedName>
    <definedName name="M">#REF!</definedName>
    <definedName name="mch" localSheetId="5">#REF!</definedName>
    <definedName name="mch" localSheetId="6">#REF!</definedName>
    <definedName name="mch">#REF!</definedName>
    <definedName name="N" localSheetId="5">#REF!</definedName>
    <definedName name="N" localSheetId="3">#REF!</definedName>
    <definedName name="N" localSheetId="6">#REF!</definedName>
    <definedName name="N">#REF!</definedName>
    <definedName name="NUM" localSheetId="5">[26]總表!#REF!</definedName>
    <definedName name="NUM" localSheetId="6">[26]總表!#REF!</definedName>
    <definedName name="NUM">[26]總表!#REF!</definedName>
    <definedName name="number" localSheetId="5">#REF!</definedName>
    <definedName name="number" localSheetId="6">#REF!</definedName>
    <definedName name="number">#REF!</definedName>
    <definedName name="OP" localSheetId="5">#REF!</definedName>
    <definedName name="OP" localSheetId="6">#REF!</definedName>
    <definedName name="OP">#REF!</definedName>
    <definedName name="P" localSheetId="5">#REF!</definedName>
    <definedName name="P" localSheetId="6">#REF!</definedName>
    <definedName name="P">#REF!</definedName>
    <definedName name="P_1" localSheetId="5">#REF!</definedName>
    <definedName name="P_1" localSheetId="6">#REF!</definedName>
    <definedName name="P_1">#REF!</definedName>
    <definedName name="PC椿N" localSheetId="5">#REF!</definedName>
    <definedName name="PC椿N" localSheetId="3">#REF!</definedName>
    <definedName name="PC椿N" localSheetId="6">#REF!</definedName>
    <definedName name="PC椿N" localSheetId="2">#REF!</definedName>
    <definedName name="PC椿N">#REF!</definedName>
    <definedName name="PC樁12" localSheetId="5">#REF!</definedName>
    <definedName name="PC樁12" localSheetId="3">#REF!</definedName>
    <definedName name="PC樁12" localSheetId="6">#REF!</definedName>
    <definedName name="PC樁12" localSheetId="2">#REF!</definedName>
    <definedName name="PC樁12">#REF!</definedName>
    <definedName name="PH" localSheetId="5">#REF!</definedName>
    <definedName name="PH" localSheetId="6">#REF!</definedName>
    <definedName name="PH">#REF!</definedName>
    <definedName name="pipe" localSheetId="5">#REF!</definedName>
    <definedName name="pipe" localSheetId="3">#REF!</definedName>
    <definedName name="pipe" localSheetId="6">#REF!</definedName>
    <definedName name="pipe">#REF!</definedName>
    <definedName name="PLACE">[26]總表!$AP$22:$AP$36</definedName>
    <definedName name="PLACE2" localSheetId="5">[26]總表!#REF!</definedName>
    <definedName name="PLACE2" localSheetId="6">[26]總表!#REF!</definedName>
    <definedName name="PLACE2">[26]總表!#REF!</definedName>
    <definedName name="po" localSheetId="5">[46]工程預算書!#REF!</definedName>
    <definedName name="po" localSheetId="3">[46]工程預算書!#REF!</definedName>
    <definedName name="po" localSheetId="6">[46]工程預算書!#REF!</definedName>
    <definedName name="po" localSheetId="2">[46]工程預算書!#REF!</definedName>
    <definedName name="po">[46]工程預算書!#REF!</definedName>
    <definedName name="pp" localSheetId="5" hidden="1">[12]Sheet2!#REF!</definedName>
    <definedName name="pp" localSheetId="3">#REF!</definedName>
    <definedName name="pp" localSheetId="6" hidden="1">[12]Sheet2!#REF!</definedName>
    <definedName name="pp" localSheetId="1" hidden="1">[14]Sheet2!#REF!</definedName>
    <definedName name="pp" localSheetId="2">#REF!</definedName>
    <definedName name="pp" hidden="1">[12]Sheet2!#REF!</definedName>
    <definedName name="pre1f" localSheetId="5">[26]總表!#REF!</definedName>
    <definedName name="pre1f" localSheetId="6">[26]總表!#REF!</definedName>
    <definedName name="pre1f">[26]總表!#REF!</definedName>
    <definedName name="pre2f" localSheetId="5">[26]總表!#REF!</definedName>
    <definedName name="pre2f" localSheetId="6">[26]總表!#REF!</definedName>
    <definedName name="pre2f">[26]總表!#REF!</definedName>
    <definedName name="_xlnm.Print_Area" localSheetId="4">'02變更設計說明書(1)'!$A$1:$G$62</definedName>
    <definedName name="_xlnm.Print_Area" localSheetId="5">'03變更設計說明書(2)'!$A$1:$G$27</definedName>
    <definedName name="_xlnm.Print_Area" localSheetId="3">'04說明書'!$A$1:$H$25</definedName>
    <definedName name="_xlnm.Print_Area" localSheetId="6">'04變更設計說明書(3)'!$A$1:$G$82</definedName>
    <definedName name="_xlnm.Print_Area" localSheetId="7">'05變更設計說明書(4)'!$A$1:$G$19</definedName>
    <definedName name="_xlnm.Print_Area" localSheetId="8">同意書!$A$1:$G$23</definedName>
    <definedName name="_xlnm.Print_Area" localSheetId="1">'封面 (2)'!$A$1:$P$21</definedName>
    <definedName name="_xlnm.Print_Area" localSheetId="2">基本單價分析!$A$1:$H$108</definedName>
    <definedName name="_xlnm.Print_Area" localSheetId="10">第一次變更詳細表!$A$1:$N$178</definedName>
    <definedName name="_xlnm.Print_Area" localSheetId="9">第一次變更總表!$A$1:$N$26</definedName>
    <definedName name="_xlnm.Print_Area" localSheetId="11">新增單價分析表!$A$1:$H$437</definedName>
    <definedName name="_xlnm.Print_Area" localSheetId="12">數量計算表!$B$2:$F$392</definedName>
    <definedName name="_xlnm.Print_Area">#REF!</definedName>
    <definedName name="Print_Area_MI" localSheetId="5">#REF!</definedName>
    <definedName name="PRINT_AREA_MI" localSheetId="3">'[25]結算明細表 (2)'!$B$1:$L$26</definedName>
    <definedName name="Print_Area_MI" localSheetId="6">#REF!</definedName>
    <definedName name="PRINT_AREA_MI" localSheetId="2">'[25]結算明細表 (2)'!$B$1:$L$26</definedName>
    <definedName name="Print_Area_MI">#REF!</definedName>
    <definedName name="Print_Area2" localSheetId="5">#REF!</definedName>
    <definedName name="Print_Area2" localSheetId="3">#REF!</definedName>
    <definedName name="Print_Area2" localSheetId="6">#REF!</definedName>
    <definedName name="Print_Area2" localSheetId="2">#REF!</definedName>
    <definedName name="Print_Area2">#REF!</definedName>
    <definedName name="_xlnm.Print_Titles" localSheetId="2">基本單價分析!$1:$4</definedName>
    <definedName name="_xlnm.Print_Titles" localSheetId="10">第一次變更詳細表!$1:$3</definedName>
    <definedName name="_xlnm.Print_Titles" localSheetId="11">新增單價分析表!$1:$4</definedName>
    <definedName name="_xlnm.Print_Titles" localSheetId="12">數量計算表!$1:$4</definedName>
    <definedName name="PVCP" localSheetId="5">#REF!</definedName>
    <definedName name="PVCP" localSheetId="3">#REF!</definedName>
    <definedName name="PVCP" localSheetId="6">#REF!</definedName>
    <definedName name="PVCP" localSheetId="2">#REF!</definedName>
    <definedName name="PVCP">#REF!</definedName>
    <definedName name="q" localSheetId="5">#REF!</definedName>
    <definedName name="q" localSheetId="3">#REF!</definedName>
    <definedName name="q" localSheetId="6">#REF!</definedName>
    <definedName name="q">#REF!</definedName>
    <definedName name="qq" localSheetId="5">[12]Sheet3!#REF!</definedName>
    <definedName name="qq" localSheetId="3">[38]工程預算書!#REF!</definedName>
    <definedName name="qq" localSheetId="6">[12]Sheet3!#REF!</definedName>
    <definedName name="qq" localSheetId="1">[14]Sheet3!#REF!</definedName>
    <definedName name="qq" localSheetId="2">[38]工程預算書!#REF!</definedName>
    <definedName name="qq">[12]Sheet3!#REF!</definedName>
    <definedName name="qqq" localSheetId="5" hidden="1">'[23]單價分析表(1-11)'!#REF!</definedName>
    <definedName name="qqq" localSheetId="3" hidden="1">'[27]單價分析表(1-11)'!#REF!</definedName>
    <definedName name="qqq" localSheetId="6" hidden="1">'[23]單價分析表(1-11)'!#REF!</definedName>
    <definedName name="qqq" localSheetId="2" hidden="1">'[27]單價分析表(1-11)'!#REF!</definedName>
    <definedName name="qqq" hidden="1">'[23]單價分析表(1-11)'!#REF!</definedName>
    <definedName name="qs" localSheetId="5">#REF!</definedName>
    <definedName name="qs" localSheetId="3">#REF!</definedName>
    <definedName name="qs" localSheetId="6">#REF!</definedName>
    <definedName name="qs">#REF!</definedName>
    <definedName name="rdtydryjfru6oixsw34a123" localSheetId="5">#REF!</definedName>
    <definedName name="rdtydryjfru6oixsw34a123" localSheetId="3">#REF!</definedName>
    <definedName name="rdtydryjfru6oixsw34a123" localSheetId="6">#REF!</definedName>
    <definedName name="rdtydryjfru6oixsw34a123">#REF!</definedName>
    <definedName name="RE" localSheetId="5">#REF!</definedName>
    <definedName name="RE" localSheetId="6">#REF!</definedName>
    <definedName name="RE">#REF!</definedName>
    <definedName name="rr" localSheetId="5">#REF!</definedName>
    <definedName name="rr" localSheetId="6">#REF!</definedName>
    <definedName name="rr">#REF!</definedName>
    <definedName name="s" localSheetId="5" hidden="1">'[11]單價分析表(1-11)'!#REF!</definedName>
    <definedName name="s" localSheetId="3">#REF!</definedName>
    <definedName name="s" localSheetId="6" hidden="1">'[11]單價分析表(1-11)'!#REF!</definedName>
    <definedName name="S" localSheetId="2">#REF!</definedName>
    <definedName name="s" hidden="1">'[11]單價分析表(1-11)'!#REF!</definedName>
    <definedName name="sa" localSheetId="5">'[12]單價分析表(1-11)'!#REF!</definedName>
    <definedName name="sa" localSheetId="3">#REF!</definedName>
    <definedName name="sa" localSheetId="6">'[12]單價分析表(1-11)'!#REF!</definedName>
    <definedName name="sa" localSheetId="1">'[14]單價分析表(1-11)'!#REF!</definedName>
    <definedName name="sa" localSheetId="2">#REF!</definedName>
    <definedName name="sa">'[12]單價分析表(1-11)'!#REF!</definedName>
    <definedName name="sdcasd" localSheetId="5">#REF!</definedName>
    <definedName name="sdcasd" localSheetId="6">#REF!</definedName>
    <definedName name="sdcasd">#REF!</definedName>
    <definedName name="sf" localSheetId="5">'[12]單價分析表(1-11)'!#REF!</definedName>
    <definedName name="sf" localSheetId="3">#REF!</definedName>
    <definedName name="sf" localSheetId="6">'[12]單價分析表(1-11)'!#REF!</definedName>
    <definedName name="sf" localSheetId="1">'[14]單價分析表(1-11)'!#REF!</definedName>
    <definedName name="sf" localSheetId="2">#REF!</definedName>
    <definedName name="sf">'[12]單價分析表(1-11)'!#REF!</definedName>
    <definedName name="sgdg" localSheetId="5" hidden="1">'[10]單價分析表(1-11)'!#REF!</definedName>
    <definedName name="sgdg" localSheetId="3" hidden="1">'[10]單價分析表(1-11)'!#REF!</definedName>
    <definedName name="sgdg" localSheetId="6" hidden="1">'[10]單價分析表(1-11)'!#REF!</definedName>
    <definedName name="sgdg" hidden="1">'[10]單價分析表(1-11)'!#REF!</definedName>
    <definedName name="sor" localSheetId="5" hidden="1">'[10]單價分析表(1-11)'!#REF!</definedName>
    <definedName name="sor" localSheetId="3" hidden="1">'[10]單價分析表(1-11)'!#REF!</definedName>
    <definedName name="sor" localSheetId="6" hidden="1">'[10]單價分析表(1-11)'!#REF!</definedName>
    <definedName name="sor" localSheetId="2" hidden="1">'[10]單價分析表(1-11)'!#REF!</definedName>
    <definedName name="sor" hidden="1">'[10]單價分析表(1-11)'!#REF!</definedName>
    <definedName name="sort" localSheetId="5" hidden="1">[12]Sheet2!#REF!</definedName>
    <definedName name="sort" localSheetId="3" hidden="1">'[45]單價分析表(1-11)'!#REF!</definedName>
    <definedName name="sort" localSheetId="6" hidden="1">[12]Sheet2!#REF!</definedName>
    <definedName name="sort" localSheetId="1" hidden="1">[14]Sheet2!#REF!</definedName>
    <definedName name="sort" localSheetId="2" hidden="1">'[45]單價分析表(1-11)'!#REF!</definedName>
    <definedName name="sort" hidden="1">[12]Sheet2!#REF!</definedName>
    <definedName name="sort1" localSheetId="5" hidden="1">[12]Sheet2!#REF!</definedName>
    <definedName name="sort1" localSheetId="3" hidden="1">'[11]單價分析表(1-11)'!#REF!</definedName>
    <definedName name="sort1" localSheetId="6" hidden="1">[12]Sheet2!#REF!</definedName>
    <definedName name="sort1" localSheetId="1" hidden="1">[14]Sheet2!#REF!</definedName>
    <definedName name="sort1" localSheetId="2" hidden="1">'[11]單價分析表(1-11)'!#REF!</definedName>
    <definedName name="sort1" hidden="1">[12]Sheet2!#REF!</definedName>
    <definedName name="sort2" localSheetId="5" hidden="1">'[23]單價分析表(1-11)'!#REF!</definedName>
    <definedName name="sort2" localSheetId="3" hidden="1">'[13]單價分析表(1-11)'!#REF!</definedName>
    <definedName name="sort2" localSheetId="6" hidden="1">'[23]單價分析表(1-11)'!#REF!</definedName>
    <definedName name="sort2" localSheetId="2" hidden="1">'[13]單價分析表(1-11)'!#REF!</definedName>
    <definedName name="sort2" hidden="1">'[23]單價分析表(1-11)'!#REF!</definedName>
    <definedName name="srrt" localSheetId="5" hidden="1">'[15]單價分析表(1-11)'!#REF!</definedName>
    <definedName name="srrt" localSheetId="3" hidden="1">'[15]單價分析表(1-11)'!#REF!</definedName>
    <definedName name="srrt" localSheetId="6" hidden="1">'[15]單價分析表(1-11)'!#REF!</definedName>
    <definedName name="srrt" localSheetId="2" hidden="1">'[15]單價分析表(1-11)'!#REF!</definedName>
    <definedName name="srrt" hidden="1">'[15]單價分析表(1-11)'!#REF!</definedName>
    <definedName name="ss" localSheetId="5">[12]Sheet3!#REF!</definedName>
    <definedName name="ss" localSheetId="3">[37]工程預算書!#REF!</definedName>
    <definedName name="ss" localSheetId="6">[12]Sheet3!#REF!</definedName>
    <definedName name="ss" localSheetId="1">[14]Sheet3!#REF!</definedName>
    <definedName name="ss" localSheetId="2">[37]工程預算書!#REF!</definedName>
    <definedName name="ss">[12]Sheet3!#REF!</definedName>
    <definedName name="sss" localSheetId="5">[8]計算工作表!#REF!</definedName>
    <definedName name="sss" localSheetId="3">[9]計算工作表!#REF!</definedName>
    <definedName name="sss" localSheetId="6">[8]計算工作表!#REF!</definedName>
    <definedName name="sss" localSheetId="2">[9]計算工作表!#REF!</definedName>
    <definedName name="sss">[8]計算工作表!#REF!</definedName>
    <definedName name="ST" localSheetId="5">#REF!</definedName>
    <definedName name="ST" localSheetId="3">#REF!</definedName>
    <definedName name="ST" localSheetId="6">#REF!</definedName>
    <definedName name="ST">#REF!</definedName>
    <definedName name="STEEL" localSheetId="5">#REF!</definedName>
    <definedName name="STEEL" localSheetId="3">#REF!</definedName>
    <definedName name="STEEL" localSheetId="6">#REF!</definedName>
    <definedName name="STEEL" localSheetId="2">#REF!</definedName>
    <definedName name="STEEL">#REF!</definedName>
    <definedName name="STEEL8" localSheetId="5">#REF!</definedName>
    <definedName name="STEEL8" localSheetId="6">#REF!</definedName>
    <definedName name="STEEL8">#REF!</definedName>
    <definedName name="SUB_1" localSheetId="5">#REF!</definedName>
    <definedName name="SUB_1" localSheetId="6">#REF!</definedName>
    <definedName name="SUB_1">#REF!</definedName>
    <definedName name="SUB_2" localSheetId="5">#REF!</definedName>
    <definedName name="SUB_2" localSheetId="6">#REF!</definedName>
    <definedName name="SUB_2">#REF!</definedName>
    <definedName name="SUB_3" localSheetId="5">#REF!</definedName>
    <definedName name="SUB_3" localSheetId="6">#REF!</definedName>
    <definedName name="SUB_3">#REF!</definedName>
    <definedName name="SUB_4" localSheetId="5">#REF!</definedName>
    <definedName name="SUB_4" localSheetId="6">#REF!</definedName>
    <definedName name="SUB_4">#REF!</definedName>
    <definedName name="t" localSheetId="5">#REF!</definedName>
    <definedName name="t" localSheetId="6">#REF!</definedName>
    <definedName name="t">#REF!</definedName>
    <definedName name="tableB">[47]單價分析表!$V$7:$W$20</definedName>
    <definedName name="tableC">[48]合約2!$L$7:$M$20</definedName>
    <definedName name="tday" localSheetId="5">#REF!</definedName>
    <definedName name="tday" localSheetId="6">#REF!</definedName>
    <definedName name="tday">#REF!</definedName>
    <definedName name="TT" localSheetId="5">[12]Sheet3!#REF!</definedName>
    <definedName name="tt" localSheetId="3">#REF!</definedName>
    <definedName name="TT" localSheetId="6">[12]Sheet3!#REF!</definedName>
    <definedName name="TT" localSheetId="1">[14]Sheet3!#REF!</definedName>
    <definedName name="tt" localSheetId="2">#REF!</definedName>
    <definedName name="TT">[12]Sheet3!#REF!</definedName>
    <definedName name="tyjtjtyjytjttryerytyhtyhtyjhtyjhtyjtyjtyjytjfthdxertsey" localSheetId="5">#REF!</definedName>
    <definedName name="tyjtjtyjytjttryerytyhtyhtyjhtyjhtyjtyjtyjytjfthdxertsey" localSheetId="3">#REF!</definedName>
    <definedName name="tyjtjtyjytjttryerytyhtyhtyjhtyjhtyjtyjtyjytjfthdxertsey" localSheetId="6">#REF!</definedName>
    <definedName name="tyjtjtyjytjttryerytyhtyhtyjhtyjhtyjtyjtyjytjfthdxertsey">#REF!</definedName>
    <definedName name="T型" localSheetId="5">#REF!</definedName>
    <definedName name="T型" localSheetId="3">#REF!</definedName>
    <definedName name="T型" localSheetId="6">#REF!</definedName>
    <definedName name="T型" localSheetId="2">#REF!</definedName>
    <definedName name="T型">#REF!</definedName>
    <definedName name="T型N" localSheetId="5">#REF!</definedName>
    <definedName name="T型N" localSheetId="3">#REF!</definedName>
    <definedName name="T型N" localSheetId="6">#REF!</definedName>
    <definedName name="T型N" localSheetId="2">#REF!</definedName>
    <definedName name="T型N">#REF!</definedName>
    <definedName name="unitlys" localSheetId="3">[49]分析資料!$A$2:$BT$112</definedName>
    <definedName name="unitlys">[50]分析資料!$A$2:$BT$112</definedName>
    <definedName name="untol">[47]單價總表!$A$2:$F$297</definedName>
    <definedName name="uyjugyuljk452786876378678678678678678678678678" localSheetId="5">#REF!</definedName>
    <definedName name="uyjugyuljk452786876378678678678678678678678678" localSheetId="3">#REF!</definedName>
    <definedName name="uyjugyuljk452786876378678678678678678678678678" localSheetId="6">#REF!</definedName>
    <definedName name="uyjugyuljk452786876378678678678678678678678678">#REF!</definedName>
    <definedName name="v" localSheetId="5">#REF!</definedName>
    <definedName name="v" localSheetId="3">#REF!</definedName>
    <definedName name="v" localSheetId="6">#REF!</definedName>
    <definedName name="v" localSheetId="2">#REF!</definedName>
    <definedName name="v">#REF!</definedName>
    <definedName name="w" localSheetId="5">#REF!</definedName>
    <definedName name="w" localSheetId="3">#REF!</definedName>
    <definedName name="w" localSheetId="6">#REF!</definedName>
    <definedName name="w">#REF!</definedName>
    <definedName name="WE" localSheetId="5" hidden="1">'[51]工程預算書 '!#REF!</definedName>
    <definedName name="WE" localSheetId="3" hidden="1">'[51]工程預算書 '!#REF!</definedName>
    <definedName name="WE" localSheetId="6" hidden="1">'[51]工程預算書 '!#REF!</definedName>
    <definedName name="WE" hidden="1">'[51]工程預算書 '!#REF!</definedName>
    <definedName name="weather" localSheetId="5">#REF!</definedName>
    <definedName name="weather" localSheetId="6">#REF!</definedName>
    <definedName name="weather">#REF!</definedName>
    <definedName name="www" localSheetId="5">[21]工程預算書!#REF!</definedName>
    <definedName name="www" localSheetId="3">[21]工程預算書!#REF!</definedName>
    <definedName name="www" localSheetId="6">[21]工程預算書!#REF!</definedName>
    <definedName name="www" localSheetId="2">[21]工程預算書!#REF!</definedName>
    <definedName name="www">[21]工程預算書!#REF!</definedName>
    <definedName name="xxx" localSheetId="5">#REF!</definedName>
    <definedName name="xxx" localSheetId="3">#REF!</definedName>
    <definedName name="xxx" localSheetId="6">#REF!</definedName>
    <definedName name="xxx">#REF!</definedName>
    <definedName name="y" localSheetId="5">#REF!</definedName>
    <definedName name="y" localSheetId="6">#REF!</definedName>
    <definedName name="y">#REF!</definedName>
    <definedName name="YEHA" localSheetId="5">[26]總表!#REF!</definedName>
    <definedName name="YEHA" localSheetId="6">[26]總表!#REF!</definedName>
    <definedName name="YEHA">[26]總表!#REF!</definedName>
    <definedName name="yhtyutyuyi42456754524" localSheetId="5">#REF!</definedName>
    <definedName name="yhtyutyuyi42456754524" localSheetId="3">#REF!</definedName>
    <definedName name="yhtyutyuyi42456754524" localSheetId="6">#REF!</definedName>
    <definedName name="yhtyutyuyi42456754524">#REF!</definedName>
    <definedName name="zdgzsdg" localSheetId="5" hidden="1">#REF!</definedName>
    <definedName name="zdgzsdg" localSheetId="6" hidden="1">#REF!</definedName>
    <definedName name="zdgzsdg" hidden="1">#REF!</definedName>
    <definedName name="zz" localSheetId="5">#REF!</definedName>
    <definedName name="zz" localSheetId="3">#REF!</definedName>
    <definedName name="zz" localSheetId="6">#REF!</definedName>
    <definedName name="zz" localSheetId="2">#REF!</definedName>
    <definedName name="zz">#REF!</definedName>
    <definedName name="一三砂漿" localSheetId="5">#REF!</definedName>
    <definedName name="一三砂漿" localSheetId="3">#REF!</definedName>
    <definedName name="一三砂漿" localSheetId="6">#REF!</definedName>
    <definedName name="一三砂漿">#REF!</definedName>
    <definedName name="一般技工" localSheetId="5">#REF!</definedName>
    <definedName name="一般技工" localSheetId="6">#REF!</definedName>
    <definedName name="一般技工">#REF!</definedName>
    <definedName name="一號明細" localSheetId="5">#REF!</definedName>
    <definedName name="一號明細" localSheetId="3">#REF!</definedName>
    <definedName name="一號明細" localSheetId="6">#REF!</definedName>
    <definedName name="一號明細" localSheetId="2">#REF!</definedName>
    <definedName name="一號明細">#REF!</definedName>
    <definedName name="乙種模版" localSheetId="5">#REF!</definedName>
    <definedName name="乙種模版" localSheetId="3">#REF!</definedName>
    <definedName name="乙種模版" localSheetId="6">#REF!</definedName>
    <definedName name="乙種模版" localSheetId="2">#REF!</definedName>
    <definedName name="乙種模版">#REF!</definedName>
    <definedName name="乙模N" localSheetId="5">#REF!</definedName>
    <definedName name="乙模N" localSheetId="3">#REF!</definedName>
    <definedName name="乙模N" localSheetId="6">#REF!</definedName>
    <definedName name="乙模N" localSheetId="2">#REF!</definedName>
    <definedName name="乙模N">#REF!</definedName>
    <definedName name="乙模P" localSheetId="5">#REF!</definedName>
    <definedName name="乙模P" localSheetId="3">#REF!</definedName>
    <definedName name="乙模P" localSheetId="6">#REF!</definedName>
    <definedName name="乙模P" localSheetId="2">#REF!</definedName>
    <definedName name="乙模P">#REF!</definedName>
    <definedName name="二號明細" localSheetId="5">#REF!</definedName>
    <definedName name="二號明細" localSheetId="3">#REF!</definedName>
    <definedName name="二號明細" localSheetId="6">#REF!</definedName>
    <definedName name="二號明細" localSheetId="2">#REF!</definedName>
    <definedName name="二號明細">#REF!</definedName>
    <definedName name="三號明細" localSheetId="5">#REF!</definedName>
    <definedName name="三號明細" localSheetId="3">#REF!</definedName>
    <definedName name="三號明細" localSheetId="6">#REF!</definedName>
    <definedName name="三號明細" localSheetId="2">#REF!</definedName>
    <definedName name="三號明細">#REF!</definedName>
    <definedName name="小計" localSheetId="5">#REF!</definedName>
    <definedName name="小計" localSheetId="6">#REF!</definedName>
    <definedName name="小計">#REF!</definedName>
    <definedName name="工地安衛" localSheetId="5">[52]預算明細表!#REF!</definedName>
    <definedName name="工地安衛" localSheetId="3">[52]預算明細表!#REF!</definedName>
    <definedName name="工地安衛" localSheetId="6">[52]預算明細表!#REF!</definedName>
    <definedName name="工地安衛">[52]預算明細表!#REF!</definedName>
    <definedName name="工程標示" localSheetId="5">#REF!</definedName>
    <definedName name="工程標示" localSheetId="3">#REF!</definedName>
    <definedName name="工程標示" localSheetId="6">#REF!</definedName>
    <definedName name="工程標示" localSheetId="2">#REF!</definedName>
    <definedName name="工程標示">#REF!</definedName>
    <definedName name="不銹鋼人孔蓋" localSheetId="5">#REF!</definedName>
    <definedName name="不銹鋼人孔蓋" localSheetId="3">#REF!</definedName>
    <definedName name="不銹鋼人孔蓋" localSheetId="6">#REF!</definedName>
    <definedName name="不銹鋼人孔蓋" localSheetId="2">#REF!</definedName>
    <definedName name="不銹鋼人孔蓋">#REF!</definedName>
    <definedName name="中華民國86年4月10日" localSheetId="5">#REF!</definedName>
    <definedName name="中華民國86年4月10日" localSheetId="6">#REF!</definedName>
    <definedName name="中華民國86年4月10日">#REF!</definedName>
    <definedName name="日期" localSheetId="5">#REF!</definedName>
    <definedName name="日期" localSheetId="6">#REF!</definedName>
    <definedName name="日期">#REF!</definedName>
    <definedName name="木N" localSheetId="5">#REF!</definedName>
    <definedName name="木N" localSheetId="3">#REF!</definedName>
    <definedName name="木N" localSheetId="6">#REF!</definedName>
    <definedName name="木N" localSheetId="2">#REF!</definedName>
    <definedName name="木N">#REF!</definedName>
    <definedName name="木P" localSheetId="5">#REF!</definedName>
    <definedName name="木P" localSheetId="3">#REF!</definedName>
    <definedName name="木P" localSheetId="6">#REF!</definedName>
    <definedName name="木P" localSheetId="2">#REF!</definedName>
    <definedName name="木P">#REF!</definedName>
    <definedName name="毛氈N" localSheetId="5">#REF!</definedName>
    <definedName name="毛氈N" localSheetId="3">#REF!</definedName>
    <definedName name="毛氈N" localSheetId="6">#REF!</definedName>
    <definedName name="毛氈N" localSheetId="2">#REF!</definedName>
    <definedName name="毛氈N">#REF!</definedName>
    <definedName name="代其他費用" localSheetId="5">#REF!</definedName>
    <definedName name="代其他費用" localSheetId="6">#REF!</definedName>
    <definedName name="代其他費用">#REF!</definedName>
    <definedName name="代發包工作費" localSheetId="5">#REF!</definedName>
    <definedName name="代發包工作費" localSheetId="6">#REF!</definedName>
    <definedName name="代發包工作費">#REF!</definedName>
    <definedName name="打椿P" localSheetId="5">#REF!</definedName>
    <definedName name="打椿P" localSheetId="3">#REF!</definedName>
    <definedName name="打椿P" localSheetId="6">#REF!</definedName>
    <definedName name="打椿P" localSheetId="2">#REF!</definedName>
    <definedName name="打椿P">#REF!</definedName>
    <definedName name="本日量一" localSheetId="5">#REF!</definedName>
    <definedName name="本日量一" localSheetId="6">#REF!</definedName>
    <definedName name="本日量一">#REF!</definedName>
    <definedName name="本日量二" localSheetId="5">#REF!</definedName>
    <definedName name="本日量二" localSheetId="6">#REF!</definedName>
    <definedName name="本日量二">#REF!</definedName>
    <definedName name="甲種模版" localSheetId="5">#REF!</definedName>
    <definedName name="甲種模版" localSheetId="3">#REF!</definedName>
    <definedName name="甲種模版" localSheetId="6">#REF!</definedName>
    <definedName name="甲種模版" localSheetId="2">#REF!</definedName>
    <definedName name="甲種模版">#REF!</definedName>
    <definedName name="甲模N" localSheetId="5">#REF!</definedName>
    <definedName name="甲模N" localSheetId="3">#REF!</definedName>
    <definedName name="甲模N" localSheetId="6">#REF!</definedName>
    <definedName name="甲模N" localSheetId="2">#REF!</definedName>
    <definedName name="甲模N">#REF!</definedName>
    <definedName name="甲模P" localSheetId="5">#REF!</definedName>
    <definedName name="甲模P" localSheetId="3">#REF!</definedName>
    <definedName name="甲模P" localSheetId="6">#REF!</definedName>
    <definedName name="甲模P" localSheetId="2">#REF!</definedName>
    <definedName name="甲模P">#REF!</definedName>
    <definedName name="石N" localSheetId="5">#REF!</definedName>
    <definedName name="石N" localSheetId="3">#REF!</definedName>
    <definedName name="石N" localSheetId="6">#REF!</definedName>
    <definedName name="石N" localSheetId="2">#REF!</definedName>
    <definedName name="石N">#REF!</definedName>
    <definedName name="石p" localSheetId="5">#REF!</definedName>
    <definedName name="石p" localSheetId="3">#REF!</definedName>
    <definedName name="石p" localSheetId="6">#REF!</definedName>
    <definedName name="石p" localSheetId="2">#REF!</definedName>
    <definedName name="石p">#REF!</definedName>
    <definedName name="回填方" localSheetId="5">#REF!</definedName>
    <definedName name="回填方" localSheetId="3">#REF!</definedName>
    <definedName name="回填方" localSheetId="6">#REF!</definedName>
    <definedName name="回填方" localSheetId="2">#REF!</definedName>
    <definedName name="回填方">#REF!</definedName>
    <definedName name="地抹宜蘭石" localSheetId="5">[53]單價分析!#REF!</definedName>
    <definedName name="地抹宜蘭石" localSheetId="3">#REF!</definedName>
    <definedName name="地抹宜蘭石" localSheetId="6">[53]單價分析!#REF!</definedName>
    <definedName name="地抹宜蘭石" localSheetId="1">[54]單價分析!#REF!</definedName>
    <definedName name="地抹宜蘭石" localSheetId="2">#REF!</definedName>
    <definedName name="地抹宜蘭石">[53]單價分析!#REF!</definedName>
    <definedName name="利息" localSheetId="5">#REF!</definedName>
    <definedName name="利息" localSheetId="6">#REF!</definedName>
    <definedName name="利息">#REF!</definedName>
    <definedName name="局供材料" localSheetId="5">[52]預算明細表!#REF!</definedName>
    <definedName name="局供材料" localSheetId="3">[52]預算明細表!#REF!</definedName>
    <definedName name="局供材料" localSheetId="6">[52]預算明細表!#REF!</definedName>
    <definedName name="局供材料">[52]預算明細表!#REF!</definedName>
    <definedName name="我" localSheetId="5">#REF!</definedName>
    <definedName name="我" localSheetId="6">#REF!</definedName>
    <definedName name="我">#REF!</definedName>
    <definedName name="坡N" localSheetId="5">#REF!</definedName>
    <definedName name="坡N" localSheetId="3">#REF!</definedName>
    <definedName name="坡N" localSheetId="6">#REF!</definedName>
    <definedName name="坡N" localSheetId="2">#REF!</definedName>
    <definedName name="坡N">#REF!</definedName>
    <definedName name="坡P" localSheetId="5">#REF!</definedName>
    <definedName name="坡P" localSheetId="3">#REF!</definedName>
    <definedName name="坡P" localSheetId="6">#REF!</definedName>
    <definedName name="坡P" localSheetId="2">#REF!</definedName>
    <definedName name="坡P">#REF!</definedName>
    <definedName name="坡縫N" localSheetId="5">#REF!</definedName>
    <definedName name="坡縫N" localSheetId="3">#REF!</definedName>
    <definedName name="坡縫N" localSheetId="6">#REF!</definedName>
    <definedName name="坡縫N" localSheetId="2">#REF!</definedName>
    <definedName name="坡縫N">#REF!</definedName>
    <definedName name="坡縫P" localSheetId="5">#REF!</definedName>
    <definedName name="坡縫P" localSheetId="3">#REF!</definedName>
    <definedName name="坡縫P" localSheetId="6">#REF!</definedName>
    <definedName name="坡縫P" localSheetId="2">#REF!</definedName>
    <definedName name="坡縫P">#REF!</definedName>
    <definedName name="物價調整費" localSheetId="5">#REF!</definedName>
    <definedName name="物價調整費" localSheetId="6">#REF!</definedName>
    <definedName name="物價調整費">#REF!</definedName>
    <definedName name="直接成本" localSheetId="5">[37]工程預算書!#REF!</definedName>
    <definedName name="直接成本" localSheetId="3">#REF!</definedName>
    <definedName name="直接成本" localSheetId="6">[37]工程預算書!#REF!</definedName>
    <definedName name="直接成本" localSheetId="2">#REF!</definedName>
    <definedName name="直接成本">[37]工程預算書!#REF!</definedName>
    <definedName name="表1" localSheetId="5">#REF!</definedName>
    <definedName name="表1" localSheetId="6">#REF!</definedName>
    <definedName name="表1">#REF!</definedName>
    <definedName name="封面1" localSheetId="5">#REF!</definedName>
    <definedName name="封面1" localSheetId="6">#REF!</definedName>
    <definedName name="封面1">#REF!</definedName>
    <definedName name="封面2" hidden="1">[55]預2!$A$8:$A$32</definedName>
    <definedName name="封面3">'[56]鋼筋計算(環村擋牆3.0-079)'!$S$27</definedName>
    <definedName name="封面簡">'[56]鋼筋計算(環村擋牆3.5-212)'!$S$27</definedName>
    <definedName name="挖方" localSheetId="5">[53]單價分析!#REF!</definedName>
    <definedName name="挖方" localSheetId="3">#REF!</definedName>
    <definedName name="挖方" localSheetId="6">[53]單價分析!#REF!</definedName>
    <definedName name="挖方" localSheetId="1">[54]單價分析!#REF!</definedName>
    <definedName name="挖方" localSheetId="2">#REF!</definedName>
    <definedName name="挖方">[53]單價分析!#REF!</definedName>
    <definedName name="砂漿13" localSheetId="5">[53]單價分析!#REF!</definedName>
    <definedName name="砂漿13" localSheetId="3">#REF!</definedName>
    <definedName name="砂漿13" localSheetId="6">[53]單價分析!#REF!</definedName>
    <definedName name="砂漿13" localSheetId="1">[54]單價分析!#REF!</definedName>
    <definedName name="砂漿13" localSheetId="2">#REF!</definedName>
    <definedName name="砂漿13">[53]單價分析!#REF!</definedName>
    <definedName name="面" localSheetId="5" hidden="1">'[57]工程預算書 '!#REF!</definedName>
    <definedName name="面" localSheetId="3" hidden="1">'[57]工程預算書 '!#REF!</definedName>
    <definedName name="面" localSheetId="6" hidden="1">'[57]工程預算書 '!#REF!</definedName>
    <definedName name="面" hidden="1">'[57]工程預算書 '!#REF!</definedName>
    <definedName name="矩形" localSheetId="5">#REF!</definedName>
    <definedName name="矩形" localSheetId="3">#REF!</definedName>
    <definedName name="矩形" localSheetId="6">#REF!</definedName>
    <definedName name="矩形" localSheetId="2">#REF!</definedName>
    <definedName name="矩形">#REF!</definedName>
    <definedName name="粉刷12" localSheetId="5">[53]單價分析!#REF!</definedName>
    <definedName name="粉刷12" localSheetId="3">#REF!</definedName>
    <definedName name="粉刷12" localSheetId="6">[53]單價分析!#REF!</definedName>
    <definedName name="粉刷12" localSheetId="1">[54]單價分析!#REF!</definedName>
    <definedName name="粉刷12" localSheetId="2">#REF!</definedName>
    <definedName name="粉刷12">[53]單價分析!#REF!</definedName>
    <definedName name="粉刷13" localSheetId="5">[53]單價分析!#REF!</definedName>
    <definedName name="粉刷13" localSheetId="3">#REF!</definedName>
    <definedName name="粉刷13" localSheetId="6">[53]單價分析!#REF!</definedName>
    <definedName name="粉刷13" localSheetId="1">[54]單價分析!#REF!</definedName>
    <definedName name="粉刷13" localSheetId="2">#REF!</definedName>
    <definedName name="粉刷13">[53]單價分析!#REF!</definedName>
    <definedName name="基" localSheetId="5">#REF!</definedName>
    <definedName name="基" localSheetId="3">#REF!</definedName>
    <definedName name="基" localSheetId="6">#REF!</definedName>
    <definedName name="基">#REF!</definedName>
    <definedName name="基本單價" localSheetId="5">#REF!</definedName>
    <definedName name="基本單價" localSheetId="6">#REF!</definedName>
    <definedName name="基本單價">#REF!</definedName>
    <definedName name="基礎卵石" localSheetId="5">#REF!</definedName>
    <definedName name="基礎卵石" localSheetId="3">#REF!</definedName>
    <definedName name="基礎卵石" localSheetId="6">#REF!</definedName>
    <definedName name="基礎卵石" localSheetId="2">#REF!</definedName>
    <definedName name="基礎卵石">#REF!</definedName>
    <definedName name="淨砂" localSheetId="5">#REF!</definedName>
    <definedName name="淨砂" localSheetId="6">#REF!</definedName>
    <definedName name="淨砂">#REF!</definedName>
    <definedName name="混凝土140" localSheetId="5">[53]單價分析!#REF!</definedName>
    <definedName name="混凝土140" localSheetId="3">#REF!</definedName>
    <definedName name="混凝土140" localSheetId="6">[53]單價分析!#REF!</definedName>
    <definedName name="混凝土140" localSheetId="1">[54]單價分析!#REF!</definedName>
    <definedName name="混凝土140" localSheetId="2">#REF!</definedName>
    <definedName name="混凝土140">[53]單價分析!#REF!</definedName>
    <definedName name="混凝土210" localSheetId="5">[53]單價分析!#REF!</definedName>
    <definedName name="混凝土210" localSheetId="3">#REF!</definedName>
    <definedName name="混凝土210" localSheetId="6">[53]單價分析!#REF!</definedName>
    <definedName name="混凝土210" localSheetId="1">[54]單價分析!#REF!</definedName>
    <definedName name="混凝土210" localSheetId="2">#REF!</definedName>
    <definedName name="混凝土210">[53]單價分析!#REF!</definedName>
    <definedName name="清除A區資料" localSheetId="5">[29]!清除A區資料</definedName>
    <definedName name="清除A區資料" localSheetId="6">[29]!清除A區資料</definedName>
    <definedName name="清除A區資料">[29]!清除A區資料</definedName>
    <definedName name="清除B區資料" localSheetId="5">[29]!清除B區資料</definedName>
    <definedName name="清除B區資料" localSheetId="6">[29]!清除B區資料</definedName>
    <definedName name="清除B區資料">[29]!清除B區資料</definedName>
    <definedName name="清除C區資料" localSheetId="5">[29]!清除C區資料</definedName>
    <definedName name="清除C區資料" localSheetId="6">[29]!清除C區資料</definedName>
    <definedName name="清除C區資料">[29]!清除C區資料</definedName>
    <definedName name="清除D區資料" localSheetId="5">[29]!清除D區資料</definedName>
    <definedName name="清除D區資料" localSheetId="6">[29]!清除D區資料</definedName>
    <definedName name="清除D區資料">[29]!清除D區資料</definedName>
    <definedName name="清除查詢資料" localSheetId="5">[29]!清除查詢資料</definedName>
    <definedName name="清除查詢資料" localSheetId="6">[29]!清除查詢資料</definedName>
    <definedName name="清除查詢資料">[29]!清除查詢資料</definedName>
    <definedName name="清單" localSheetId="5">#REF!</definedName>
    <definedName name="清單" localSheetId="6">#REF!</definedName>
    <definedName name="清單">#REF!</definedName>
    <definedName name="單價分析表" localSheetId="5">#REF!</definedName>
    <definedName name="單價分析表" localSheetId="3">#REF!</definedName>
    <definedName name="單價分析表" localSheetId="6">#REF!</definedName>
    <definedName name="單價分析表" localSheetId="2">#REF!</definedName>
    <definedName name="單價分析表">#REF!</definedName>
    <definedName name="普通工" localSheetId="5">#REF!</definedName>
    <definedName name="普通工" localSheetId="6">#REF!</definedName>
    <definedName name="普通工">#REF!</definedName>
    <definedName name="渡槽鋼筋" localSheetId="5">#REF!</definedName>
    <definedName name="渡槽鋼筋" localSheetId="6">#REF!</definedName>
    <definedName name="渡槽鋼筋">#REF!</definedName>
    <definedName name="測站" localSheetId="5">#REF!</definedName>
    <definedName name="測站" localSheetId="6">#REF!</definedName>
    <definedName name="測站">#REF!</definedName>
    <definedName name="發包工作費" localSheetId="5">[52]預算明細表!#REF!</definedName>
    <definedName name="發包工作費" localSheetId="3">[52]預算明細表!#REF!</definedName>
    <definedName name="發包工作費" localSheetId="6">[52]預算明細表!#REF!</definedName>
    <definedName name="發包工作費">[52]預算明細表!#REF!</definedName>
    <definedName name="結構粉刷" localSheetId="5">[53]單價分析!#REF!</definedName>
    <definedName name="結構粉刷" localSheetId="3">#REF!</definedName>
    <definedName name="結構粉刷" localSheetId="6">[53]單價分析!#REF!</definedName>
    <definedName name="結構粉刷" localSheetId="1">[54]單價分析!#REF!</definedName>
    <definedName name="結構粉刷" localSheetId="2">#REF!</definedName>
    <definedName name="結構粉刷">[53]單價分析!#REF!</definedName>
    <definedName name="結構模版" localSheetId="5">#REF!</definedName>
    <definedName name="結構模版" localSheetId="3">#REF!</definedName>
    <definedName name="結構模版" localSheetId="6">#REF!</definedName>
    <definedName name="結構模版" localSheetId="2">#REF!</definedName>
    <definedName name="結構模版">#REF!</definedName>
    <definedName name="進度表2" localSheetId="5">#REF!</definedName>
    <definedName name="進度表2" localSheetId="3">#REF!</definedName>
    <definedName name="進度表2" localSheetId="6">#REF!</definedName>
    <definedName name="進度表2">#REF!</definedName>
    <definedName name="填方" localSheetId="5">#REF!</definedName>
    <definedName name="填方" localSheetId="3">#REF!</definedName>
    <definedName name="填方" localSheetId="6">#REF!</definedName>
    <definedName name="填方" localSheetId="2">#REF!</definedName>
    <definedName name="填方">#REF!</definedName>
    <definedName name="填石N" localSheetId="5">#REF!</definedName>
    <definedName name="填石N" localSheetId="3">#REF!</definedName>
    <definedName name="填石N" localSheetId="6">#REF!</definedName>
    <definedName name="填石N" localSheetId="2">#REF!</definedName>
    <definedName name="填石N">#REF!</definedName>
    <definedName name="碎石N" localSheetId="5">#REF!</definedName>
    <definedName name="碎石N" localSheetId="3">#REF!</definedName>
    <definedName name="碎石N" localSheetId="6">#REF!</definedName>
    <definedName name="碎石N" localSheetId="2">#REF!</definedName>
    <definedName name="碎石N">#REF!</definedName>
    <definedName name="碎石P" localSheetId="5">#REF!</definedName>
    <definedName name="碎石P" localSheetId="3">#REF!</definedName>
    <definedName name="碎石P" localSheetId="6">#REF!</definedName>
    <definedName name="碎石P" localSheetId="2">#REF!</definedName>
    <definedName name="碎石P">#REF!</definedName>
    <definedName name="碎石級配" localSheetId="5">#REF!</definedName>
    <definedName name="碎石級配" localSheetId="3">#REF!</definedName>
    <definedName name="碎石級配" localSheetId="6">#REF!</definedName>
    <definedName name="碎石級配" localSheetId="2">#REF!</definedName>
    <definedName name="碎石級配">#REF!</definedName>
    <definedName name="補償費" localSheetId="5">#REF!</definedName>
    <definedName name="補償費" localSheetId="3">#REF!</definedName>
    <definedName name="補償費" localSheetId="6">#REF!</definedName>
    <definedName name="補償費" localSheetId="2">#REF!</definedName>
    <definedName name="補償費">#REF!</definedName>
    <definedName name="補償費1" localSheetId="5">#REF!</definedName>
    <definedName name="補償費1" localSheetId="3">#REF!</definedName>
    <definedName name="補償費1" localSheetId="6">#REF!</definedName>
    <definedName name="補償費1" localSheetId="2">#REF!</definedName>
    <definedName name="補償費1">#REF!</definedName>
    <definedName name="路工鋼筋" localSheetId="5">[52]預算明細表!#REF!</definedName>
    <definedName name="路工鋼筋" localSheetId="3">[52]預算明細表!#REF!</definedName>
    <definedName name="路工鋼筋" localSheetId="6">[52]預算明細表!#REF!</definedName>
    <definedName name="路工鋼筋">[52]預算明細表!#REF!</definedName>
    <definedName name="路右擋牆15" localSheetId="3">'[58]鋼筋計算(環村擋牆3.0-079)'!$S$27</definedName>
    <definedName name="路右擋牆15" localSheetId="2">'[59]鋼筋計算(環村擋牆3.0-079)'!$S$27</definedName>
    <definedName name="路右擋牆15">'[60]鋼筋計算(環村擋牆3.0-079)'!$S$27</definedName>
    <definedName name="路右擋牆25" localSheetId="3">'[58]鋼筋計算(環村擋牆3.0-165)'!$S$27</definedName>
    <definedName name="路右擋牆25" localSheetId="2">'[59]鋼筋計算(環村擋牆3.0-165)'!$S$27</definedName>
    <definedName name="路右擋牆25">'[60]鋼筋計算(環村擋牆3.0-165)'!$S$27</definedName>
    <definedName name="路右擋牆35" localSheetId="3">'[58]鋼筋計算(環村擋牆3.5-212)'!$S$27</definedName>
    <definedName name="路右擋牆35" localSheetId="2">'[59]鋼筋計算(環村擋牆3.5-212)'!$S$27</definedName>
    <definedName name="路右擋牆35">'[60]鋼筋計算(環村擋牆3.5-212)'!$S$27</definedName>
    <definedName name="路右擋牆45" localSheetId="3">'[58]鋼筋計算(環村擋牆3.0-254)'!$S$27</definedName>
    <definedName name="路右擋牆45" localSheetId="2">'[59]鋼筋計算(環村擋牆3.0-254)'!$S$27</definedName>
    <definedName name="路右擋牆45">'[60]鋼筋計算(環村擋牆3.0-254)'!$S$27</definedName>
    <definedName name="路右擋牆55" localSheetId="3">'[58]鋼筋計算(環村擋牆3.0-161)'!$S$27</definedName>
    <definedName name="路右擋牆55" localSheetId="2">'[59]鋼筋計算(環村擋牆3.0-161)'!$S$27</definedName>
    <definedName name="路右擋牆55">'[60]鋼筋計算(環村擋牆3.0-161)'!$S$27</definedName>
    <definedName name="路左擋牆17" localSheetId="5">#REF!</definedName>
    <definedName name="路左擋牆17" localSheetId="3">#REF!</definedName>
    <definedName name="路左擋牆17" localSheetId="6">#REF!</definedName>
    <definedName name="路左擋牆17" localSheetId="2">#REF!</definedName>
    <definedName name="路左擋牆17">#REF!</definedName>
    <definedName name="路左擋牆27" localSheetId="3">'[58]鋼筋計算(環村擋牆4.0-375)'!$S$27</definedName>
    <definedName name="路左擋牆27" localSheetId="2">'[59]鋼筋計算(環村擋牆4.0-375)'!$S$27</definedName>
    <definedName name="路左擋牆27">'[60]鋼筋計算(環村擋牆4.0-375)'!$S$27</definedName>
    <definedName name="路左擋牆37" localSheetId="3">'[58]鋼筋計算(環村擋牆3.5-325)'!$S$27</definedName>
    <definedName name="路左擋牆37" localSheetId="2">'[59]鋼筋計算(環村擋牆3.5-325)'!$S$27</definedName>
    <definedName name="路左擋牆37">'[60]鋼筋計算(環村擋牆3.5-325)'!$S$27</definedName>
    <definedName name="路左擋牆47" localSheetId="3">'[58]鋼筋計算(環村擋牆4.0-375) (2)'!$S$27</definedName>
    <definedName name="路左擋牆47" localSheetId="2">'[59]鋼筋計算(環村擋牆4.0-375) (2)'!$S$27</definedName>
    <definedName name="路左擋牆47">'[60]鋼筋計算(環村擋牆4.0-375) (2)'!$S$27</definedName>
    <definedName name="路左擋牆57" localSheetId="3">'[58]鋼筋計算(環村擋牆4.5-409)'!$S$27</definedName>
    <definedName name="路左擋牆57" localSheetId="2">'[59]鋼筋計算(環村擋牆4.5-409)'!$S$27</definedName>
    <definedName name="路左擋牆57">'[60]鋼筋計算(環村擋牆4.5-409)'!$S$27</definedName>
    <definedName name="路左擋牆67" localSheetId="3">'[58]鋼筋計算(環村擋牆3.0-291) '!$S$27</definedName>
    <definedName name="路左擋牆67" localSheetId="2">'[59]鋼筋計算(環村擋牆3.0-291) '!$S$27</definedName>
    <definedName name="路左擋牆67">'[60]鋼筋計算(環村擋牆3.0-291) '!$S$27</definedName>
    <definedName name="路左擋牆77" localSheetId="3">'[58]鋼筋計算(環村擋牆3.0-187)'!$S$27</definedName>
    <definedName name="路左擋牆77" localSheetId="2">'[59]鋼筋計算(環村擋牆3.0-187)'!$S$27</definedName>
    <definedName name="路左擋牆77">'[60]鋼筋計算(環村擋牆3.0-187)'!$S$27</definedName>
    <definedName name="道路交通" localSheetId="5">[52]預算明細表!#REF!</definedName>
    <definedName name="道路交通" localSheetId="3">[52]預算明細表!#REF!</definedName>
    <definedName name="道路交通" localSheetId="6">[52]預算明細表!#REF!</definedName>
    <definedName name="道路交通">[52]預算明細表!#REF!</definedName>
    <definedName name="預算" localSheetId="5" hidden="1">'[61]工程預算書 '!#REF!</definedName>
    <definedName name="預算" localSheetId="3" hidden="1">'[61]工程預算書 '!#REF!</definedName>
    <definedName name="預算" localSheetId="6" hidden="1">'[61]工程預算書 '!#REF!</definedName>
    <definedName name="預算" hidden="1">'[61]工程預算書 '!#REF!</definedName>
    <definedName name="嘉_南_實_業_股_份_有_限_公_司" localSheetId="5">#REF!</definedName>
    <definedName name="嘉_南_實_業_股_份_有_限_公_司" localSheetId="6">#REF!</definedName>
    <definedName name="嘉_南_實_業_股_份_有_限_公_司">#REF!</definedName>
    <definedName name="臺灣省自來水公司第三區管理處" localSheetId="5">#REF!</definedName>
    <definedName name="臺灣省自來水公司第三區管理處" localSheetId="6">#REF!</definedName>
    <definedName name="臺灣省自來水公司第三區管理處">#REF!</definedName>
    <definedName name="說" localSheetId="5">#REF!</definedName>
    <definedName name="說" localSheetId="6">#REF!</definedName>
    <definedName name="說">#REF!</definedName>
    <definedName name="遠運" localSheetId="5">#REF!</definedName>
    <definedName name="遠運" localSheetId="3">#REF!</definedName>
    <definedName name="遠運" localSheetId="6">#REF!</definedName>
    <definedName name="遠運" localSheetId="2">#REF!</definedName>
    <definedName name="遠運">#REF!</definedName>
    <definedName name="數量總表" localSheetId="5">#REF!</definedName>
    <definedName name="數量總表" localSheetId="3">#REF!</definedName>
    <definedName name="數量總表" localSheetId="6">#REF!</definedName>
    <definedName name="數量總表" localSheetId="2">#REF!</definedName>
    <definedName name="數量總表">#REF!</definedName>
    <definedName name="編號" localSheetId="5">#REF!</definedName>
    <definedName name="編號" localSheetId="6">#REF!</definedName>
    <definedName name="編號">#REF!</definedName>
    <definedName name="橋梁工程" localSheetId="5">[52]預算明細表!#REF!</definedName>
    <definedName name="橋梁工程" localSheetId="3">[52]預算明細表!#REF!</definedName>
    <definedName name="橋梁工程" localSheetId="6">[52]預算明細表!#REF!</definedName>
    <definedName name="橋梁工程">[52]預算明細表!#REF!</definedName>
    <definedName name="橋梁鋼筋" localSheetId="5">[52]預算明細表!#REF!</definedName>
    <definedName name="橋梁鋼筋" localSheetId="3">[52]預算明細表!#REF!</definedName>
    <definedName name="橋梁鋼筋" localSheetId="6">[52]預算明細表!#REF!</definedName>
    <definedName name="橋梁鋼筋">[52]預算明細表!#REF!</definedName>
    <definedName name="磚0.5" localSheetId="5">[53]單價分析!#REF!</definedName>
    <definedName name="磚0.5" localSheetId="3">#REF!</definedName>
    <definedName name="磚0.5" localSheetId="6">[53]單價分析!#REF!</definedName>
    <definedName name="磚0.5" localSheetId="1">[54]單價分析!#REF!</definedName>
    <definedName name="磚0.5" localSheetId="2">#REF!</definedName>
    <definedName name="磚0.5">[53]單價分析!#REF!</definedName>
    <definedName name="鋼P" localSheetId="5">#REF!</definedName>
    <definedName name="鋼P" localSheetId="3">#REF!</definedName>
    <definedName name="鋼P" localSheetId="6">#REF!</definedName>
    <definedName name="鋼P" localSheetId="2">#REF!</definedName>
    <definedName name="鋼P">#REF!</definedName>
    <definedName name="鋼筋" localSheetId="5">#REF!</definedName>
    <definedName name="鋼筋" localSheetId="3">#REF!</definedName>
    <definedName name="鋼筋" localSheetId="6">#REF!</definedName>
    <definedName name="鋼筋" localSheetId="2">#REF!</definedName>
    <definedName name="鋼筋">#REF!</definedName>
    <definedName name="鋼筋N" localSheetId="5">#REF!</definedName>
    <definedName name="鋼筋N" localSheetId="3">#REF!</definedName>
    <definedName name="鋼筋N" localSheetId="6">#REF!</definedName>
    <definedName name="鋼筋N" localSheetId="2">#REF!</definedName>
    <definedName name="鋼筋N">#REF!</definedName>
    <definedName name="鋼筋運費" localSheetId="5">#REF!</definedName>
    <definedName name="鋼筋運費" localSheetId="6">#REF!</definedName>
    <definedName name="鋼筋運費">#REF!</definedName>
    <definedName name="鋼筋數量" localSheetId="5">#REF!</definedName>
    <definedName name="鋼筋數量" localSheetId="6">#REF!</definedName>
    <definedName name="鋼筋數量">#REF!</definedName>
    <definedName name="鋼模" localSheetId="5">#REF!</definedName>
    <definedName name="鋼模" localSheetId="3">#REF!</definedName>
    <definedName name="鋼模" localSheetId="6">#REF!</definedName>
    <definedName name="鋼模">#REF!</definedName>
    <definedName name="牆抹宜蘭石" localSheetId="5">[53]單價分析!#REF!</definedName>
    <definedName name="牆抹宜蘭石" localSheetId="3">#REF!</definedName>
    <definedName name="牆抹宜蘭石" localSheetId="6">[53]單價分析!#REF!</definedName>
    <definedName name="牆抹宜蘭石" localSheetId="1">[54]單價分析!#REF!</definedName>
    <definedName name="牆抹宜蘭石" localSheetId="2">#REF!</definedName>
    <definedName name="牆抹宜蘭石">[53]單價分析!#REF!</definedName>
    <definedName name="護坦工" localSheetId="5">#REF!</definedName>
    <definedName name="護坦工" localSheetId="6">#REF!</definedName>
    <definedName name="護坦工">#REF!</definedName>
    <definedName name="變更設計預算書" hidden="1">'[62]工程預算書 '!$B$64:$C$82</definedName>
    <definedName name="驗收紀錄2" localSheetId="5">#REF!</definedName>
    <definedName name="驗收紀錄2" localSheetId="6">#REF!</definedName>
    <definedName name="驗收紀錄2">#REF!</definedName>
  </definedNames>
  <calcPr calcId="145621"/>
</workbook>
</file>

<file path=xl/calcChain.xml><?xml version="1.0" encoding="utf-8"?>
<calcChain xmlns="http://schemas.openxmlformats.org/spreadsheetml/2006/main">
  <c r="E370" i="29" l="1"/>
  <c r="E131" i="78" l="1"/>
  <c r="F329" i="78" l="1"/>
  <c r="F168" i="78"/>
  <c r="F164" i="78"/>
  <c r="F165" i="78"/>
  <c r="F166" i="78"/>
  <c r="F167" i="78"/>
  <c r="F163" i="78"/>
  <c r="F162" i="78"/>
  <c r="F161" i="78"/>
  <c r="E147" i="78"/>
  <c r="E146" i="78"/>
  <c r="E145" i="78"/>
  <c r="E144" i="78"/>
  <c r="E74" i="78"/>
  <c r="E14" i="78" l="1"/>
  <c r="E13" i="78"/>
  <c r="E30" i="78"/>
  <c r="E29" i="78"/>
  <c r="E44" i="78"/>
  <c r="E43" i="78"/>
  <c r="E61" i="78"/>
  <c r="E60" i="78"/>
  <c r="F170" i="78"/>
  <c r="I72" i="77" s="1"/>
  <c r="F215" i="78"/>
  <c r="F229" i="78"/>
  <c r="I78" i="77" s="1"/>
  <c r="F245" i="78"/>
  <c r="I79" i="77" s="1"/>
  <c r="F262" i="78"/>
  <c r="F278" i="78"/>
  <c r="I81" i="77" s="1"/>
  <c r="F295" i="78"/>
  <c r="I82" i="77" s="1"/>
  <c r="F180" i="78"/>
  <c r="I73" i="77" s="1"/>
  <c r="F174" i="78"/>
  <c r="F175" i="78"/>
  <c r="F176" i="78"/>
  <c r="F178" i="78" s="1"/>
  <c r="F177" i="78"/>
  <c r="F173" i="78"/>
  <c r="F305" i="78"/>
  <c r="I83" i="77" s="1"/>
  <c r="F321" i="78"/>
  <c r="I86" i="77"/>
  <c r="I85" i="77"/>
  <c r="I80" i="77"/>
  <c r="I76" i="77"/>
  <c r="I75" i="77"/>
  <c r="I74" i="77"/>
  <c r="I71" i="77"/>
  <c r="G15" i="75" l="1"/>
  <c r="K19" i="76" l="1"/>
  <c r="K20" i="76"/>
  <c r="J13" i="76"/>
  <c r="J14" i="76"/>
  <c r="J12" i="76"/>
  <c r="E273" i="29"/>
  <c r="E86" i="29" l="1"/>
  <c r="E74" i="29"/>
  <c r="E57" i="29"/>
  <c r="K132" i="77" l="1"/>
  <c r="K112" i="77"/>
  <c r="J177" i="77"/>
  <c r="G177" i="77"/>
  <c r="F177" i="77"/>
  <c r="J176" i="77"/>
  <c r="J19" i="76" s="1"/>
  <c r="G176" i="77"/>
  <c r="F176" i="77"/>
  <c r="J175" i="77"/>
  <c r="J18" i="76" s="1"/>
  <c r="G175" i="77"/>
  <c r="J174" i="77"/>
  <c r="J17" i="76" s="1"/>
  <c r="G174" i="77"/>
  <c r="F174" i="77"/>
  <c r="P173" i="77"/>
  <c r="J171" i="77"/>
  <c r="G171" i="77"/>
  <c r="F171" i="77"/>
  <c r="J170" i="77"/>
  <c r="G170" i="77"/>
  <c r="F170" i="77"/>
  <c r="J169" i="77"/>
  <c r="G169" i="77"/>
  <c r="F169" i="77"/>
  <c r="K167" i="77"/>
  <c r="M167" i="77" s="1"/>
  <c r="J167" i="77"/>
  <c r="K166" i="77"/>
  <c r="J166" i="77"/>
  <c r="G166" i="77"/>
  <c r="K165" i="77"/>
  <c r="J165" i="77"/>
  <c r="L165" i="77" s="1"/>
  <c r="G165" i="77"/>
  <c r="F165" i="77"/>
  <c r="K164" i="77"/>
  <c r="M164" i="77" s="1"/>
  <c r="G164" i="77"/>
  <c r="F164" i="77"/>
  <c r="K163" i="77"/>
  <c r="L163" i="77" s="1"/>
  <c r="G163" i="77"/>
  <c r="F163" i="77"/>
  <c r="K162" i="77"/>
  <c r="M162" i="77" s="1"/>
  <c r="G162" i="77"/>
  <c r="F162" i="77"/>
  <c r="K161" i="77"/>
  <c r="G161" i="77"/>
  <c r="F161" i="77"/>
  <c r="K160" i="77"/>
  <c r="L160" i="77" s="1"/>
  <c r="J160" i="77"/>
  <c r="G160" i="77"/>
  <c r="F160" i="77"/>
  <c r="K159" i="77"/>
  <c r="J159" i="77"/>
  <c r="G159" i="77"/>
  <c r="F159" i="77"/>
  <c r="K158" i="77"/>
  <c r="J158" i="77"/>
  <c r="G158" i="77"/>
  <c r="F158" i="77"/>
  <c r="K157" i="77"/>
  <c r="J157" i="77"/>
  <c r="G157" i="77"/>
  <c r="F157" i="77"/>
  <c r="K156" i="77"/>
  <c r="L156" i="77" s="1"/>
  <c r="J156" i="77"/>
  <c r="G156" i="77"/>
  <c r="F156" i="77"/>
  <c r="K155" i="77"/>
  <c r="J155" i="77"/>
  <c r="G155" i="77"/>
  <c r="F155" i="77"/>
  <c r="K154" i="77"/>
  <c r="J154" i="77"/>
  <c r="G154" i="77"/>
  <c r="F154" i="77"/>
  <c r="K153" i="77"/>
  <c r="L153" i="77" s="1"/>
  <c r="J153" i="77"/>
  <c r="G153" i="77"/>
  <c r="F153" i="77"/>
  <c r="K152" i="77"/>
  <c r="M152" i="77" s="1"/>
  <c r="J152" i="77"/>
  <c r="G152" i="77"/>
  <c r="F152" i="77"/>
  <c r="K151" i="77"/>
  <c r="J151" i="77"/>
  <c r="G151" i="77"/>
  <c r="F151" i="77"/>
  <c r="K150" i="77"/>
  <c r="M150" i="77" s="1"/>
  <c r="J150" i="77"/>
  <c r="G150" i="77"/>
  <c r="F150" i="77"/>
  <c r="K149" i="77"/>
  <c r="J149" i="77"/>
  <c r="G149" i="77"/>
  <c r="F149" i="77"/>
  <c r="K148" i="77"/>
  <c r="J148" i="77"/>
  <c r="G148" i="77"/>
  <c r="F148" i="77"/>
  <c r="K147" i="77"/>
  <c r="J147" i="77"/>
  <c r="G147" i="77"/>
  <c r="F147" i="77"/>
  <c r="K146" i="77"/>
  <c r="J146" i="77"/>
  <c r="G146" i="77"/>
  <c r="F146" i="77"/>
  <c r="K145" i="77"/>
  <c r="J145" i="77"/>
  <c r="G145" i="77"/>
  <c r="F145" i="77"/>
  <c r="K144" i="77"/>
  <c r="J144" i="77"/>
  <c r="G144" i="77"/>
  <c r="F144" i="77"/>
  <c r="K143" i="77"/>
  <c r="J143" i="77"/>
  <c r="G143" i="77"/>
  <c r="F143" i="77"/>
  <c r="K142" i="77"/>
  <c r="J142" i="77"/>
  <c r="G142" i="77"/>
  <c r="F142" i="77"/>
  <c r="K141" i="77"/>
  <c r="J141" i="77"/>
  <c r="G141" i="77"/>
  <c r="F141" i="77"/>
  <c r="K140" i="77"/>
  <c r="J140" i="77"/>
  <c r="G140" i="77"/>
  <c r="F140" i="77"/>
  <c r="K136" i="77"/>
  <c r="J136" i="77"/>
  <c r="G136" i="77"/>
  <c r="F136" i="77"/>
  <c r="K135" i="77"/>
  <c r="K137" i="77" s="1"/>
  <c r="K10" i="76" s="1"/>
  <c r="J135" i="77"/>
  <c r="J137" i="77" s="1"/>
  <c r="J10" i="76" s="1"/>
  <c r="G135" i="77"/>
  <c r="F135" i="77"/>
  <c r="J132" i="77"/>
  <c r="L132" i="77" s="1"/>
  <c r="G132" i="77"/>
  <c r="F132" i="77"/>
  <c r="K131" i="77"/>
  <c r="J131" i="77"/>
  <c r="G131" i="77"/>
  <c r="F131" i="77"/>
  <c r="K130" i="77"/>
  <c r="J130" i="77"/>
  <c r="G130" i="77"/>
  <c r="F130" i="77"/>
  <c r="K129" i="77"/>
  <c r="J129" i="77"/>
  <c r="G129" i="77"/>
  <c r="F129" i="77"/>
  <c r="K128" i="77"/>
  <c r="J128" i="77"/>
  <c r="G128" i="77"/>
  <c r="F128" i="77"/>
  <c r="K127" i="77"/>
  <c r="J127" i="77"/>
  <c r="G127" i="77"/>
  <c r="F127" i="77"/>
  <c r="K126" i="77"/>
  <c r="J126" i="77"/>
  <c r="G126" i="77"/>
  <c r="F126" i="77"/>
  <c r="K125" i="77"/>
  <c r="M125" i="77" s="1"/>
  <c r="J125" i="77"/>
  <c r="G125" i="77"/>
  <c r="K124" i="77"/>
  <c r="J124" i="77"/>
  <c r="G124" i="77"/>
  <c r="F124" i="77"/>
  <c r="K123" i="77"/>
  <c r="J123" i="77"/>
  <c r="G123" i="77"/>
  <c r="F123" i="77"/>
  <c r="K122" i="77"/>
  <c r="J122" i="77"/>
  <c r="G122" i="77"/>
  <c r="F122" i="77"/>
  <c r="K121" i="77"/>
  <c r="L121" i="77" s="1"/>
  <c r="J121" i="77"/>
  <c r="G121" i="77"/>
  <c r="F121" i="77"/>
  <c r="K120" i="77"/>
  <c r="L120" i="77" s="1"/>
  <c r="J120" i="77"/>
  <c r="G120" i="77"/>
  <c r="F120" i="77"/>
  <c r="K119" i="77"/>
  <c r="J119" i="77"/>
  <c r="G119" i="77"/>
  <c r="F119" i="77"/>
  <c r="K118" i="77"/>
  <c r="J118" i="77"/>
  <c r="G118" i="77"/>
  <c r="F118" i="77"/>
  <c r="K117" i="77"/>
  <c r="L117" i="77" s="1"/>
  <c r="J117" i="77"/>
  <c r="G117" i="77"/>
  <c r="F117" i="77"/>
  <c r="K116" i="77"/>
  <c r="J116" i="77"/>
  <c r="G116" i="77"/>
  <c r="F116" i="77"/>
  <c r="J113" i="77"/>
  <c r="J112" i="77"/>
  <c r="L112" i="77" s="1"/>
  <c r="K111" i="77"/>
  <c r="J111" i="77"/>
  <c r="G111" i="77"/>
  <c r="K110" i="77"/>
  <c r="J110" i="77"/>
  <c r="G110" i="77"/>
  <c r="F110" i="77"/>
  <c r="K109" i="77"/>
  <c r="J109" i="77"/>
  <c r="G109" i="77"/>
  <c r="F109" i="77"/>
  <c r="K108" i="77"/>
  <c r="J108" i="77"/>
  <c r="G108" i="77"/>
  <c r="F108" i="77"/>
  <c r="K107" i="77"/>
  <c r="J107" i="77"/>
  <c r="G107" i="77"/>
  <c r="F107" i="77"/>
  <c r="K106" i="77"/>
  <c r="J106" i="77"/>
  <c r="G106" i="77"/>
  <c r="F106" i="77"/>
  <c r="H105" i="77"/>
  <c r="K104" i="77" s="1"/>
  <c r="J104" i="77"/>
  <c r="G104" i="77"/>
  <c r="F104" i="77"/>
  <c r="K103" i="77"/>
  <c r="J103" i="77"/>
  <c r="G103" i="77"/>
  <c r="F103" i="77"/>
  <c r="K102" i="77"/>
  <c r="J102" i="77"/>
  <c r="G102" i="77"/>
  <c r="F102" i="77"/>
  <c r="K101" i="77"/>
  <c r="J101" i="77"/>
  <c r="G101" i="77"/>
  <c r="F101" i="77"/>
  <c r="K100" i="77"/>
  <c r="J100" i="77"/>
  <c r="G100" i="77"/>
  <c r="F100" i="77"/>
  <c r="K99" i="77"/>
  <c r="J99" i="77"/>
  <c r="G99" i="77"/>
  <c r="F99" i="77"/>
  <c r="K97" i="77"/>
  <c r="J97" i="77"/>
  <c r="G97" i="77"/>
  <c r="F97" i="77"/>
  <c r="K96" i="77"/>
  <c r="J96" i="77"/>
  <c r="G96" i="77"/>
  <c r="F96" i="77"/>
  <c r="K95" i="77"/>
  <c r="J95" i="77"/>
  <c r="K94" i="77"/>
  <c r="J94" i="77"/>
  <c r="M94" i="77" s="1"/>
  <c r="G94" i="77"/>
  <c r="F94" i="77"/>
  <c r="K93" i="77"/>
  <c r="J93" i="77"/>
  <c r="G93" i="77"/>
  <c r="F93" i="77"/>
  <c r="G90" i="77"/>
  <c r="F90" i="77"/>
  <c r="J89" i="77"/>
  <c r="G89" i="77"/>
  <c r="F89" i="77"/>
  <c r="J88" i="77"/>
  <c r="G88" i="77"/>
  <c r="F88" i="77"/>
  <c r="J87" i="77"/>
  <c r="G87" i="77"/>
  <c r="F87" i="77"/>
  <c r="K86" i="77"/>
  <c r="L86" i="77" s="1"/>
  <c r="J86" i="77"/>
  <c r="G86" i="77"/>
  <c r="F86" i="77"/>
  <c r="K85" i="77"/>
  <c r="L85" i="77" s="1"/>
  <c r="J85" i="77"/>
  <c r="G85" i="77"/>
  <c r="F85" i="77"/>
  <c r="J84" i="77"/>
  <c r="G84" i="77"/>
  <c r="F84" i="77"/>
  <c r="K83" i="77"/>
  <c r="J83" i="77"/>
  <c r="G83" i="77"/>
  <c r="F83" i="77"/>
  <c r="K82" i="77"/>
  <c r="J82" i="77"/>
  <c r="G82" i="77"/>
  <c r="F82" i="77"/>
  <c r="K81" i="77"/>
  <c r="J81" i="77"/>
  <c r="G81" i="77"/>
  <c r="F81" i="77"/>
  <c r="K80" i="77"/>
  <c r="J80" i="77"/>
  <c r="G80" i="77"/>
  <c r="F80" i="77"/>
  <c r="K79" i="77"/>
  <c r="J79" i="77"/>
  <c r="G79" i="77"/>
  <c r="F79" i="77"/>
  <c r="K78" i="77"/>
  <c r="M78" i="77" s="1"/>
  <c r="J78" i="77"/>
  <c r="G78" i="77"/>
  <c r="F78" i="77"/>
  <c r="J77" i="77"/>
  <c r="G77" i="77"/>
  <c r="F77" i="77"/>
  <c r="K76" i="77"/>
  <c r="J76" i="77"/>
  <c r="G76" i="77"/>
  <c r="F76" i="77"/>
  <c r="K75" i="77"/>
  <c r="J75" i="77"/>
  <c r="G75" i="77"/>
  <c r="F75" i="77"/>
  <c r="K74" i="77"/>
  <c r="J74" i="77"/>
  <c r="G74" i="77"/>
  <c r="F74" i="77"/>
  <c r="K73" i="77"/>
  <c r="J73" i="77"/>
  <c r="G73" i="77"/>
  <c r="F73" i="77"/>
  <c r="K72" i="77"/>
  <c r="J72" i="77"/>
  <c r="G72" i="77"/>
  <c r="F72" i="77"/>
  <c r="K71" i="77"/>
  <c r="J71" i="77"/>
  <c r="G71" i="77"/>
  <c r="F71" i="77"/>
  <c r="J70" i="77"/>
  <c r="G70" i="77"/>
  <c r="F70" i="77"/>
  <c r="K69" i="77"/>
  <c r="J69" i="77"/>
  <c r="G69" i="77"/>
  <c r="F69" i="77"/>
  <c r="K68" i="77"/>
  <c r="J68" i="77"/>
  <c r="L68" i="77" s="1"/>
  <c r="G68" i="77"/>
  <c r="F68" i="77"/>
  <c r="K67" i="77"/>
  <c r="J67" i="77"/>
  <c r="M67" i="77" s="1"/>
  <c r="G67" i="77"/>
  <c r="F67" i="77"/>
  <c r="K66" i="77"/>
  <c r="J66" i="77"/>
  <c r="G66" i="77"/>
  <c r="F66" i="77"/>
  <c r="K65" i="77"/>
  <c r="J65" i="77"/>
  <c r="G65" i="77"/>
  <c r="F65" i="77"/>
  <c r="K64" i="77"/>
  <c r="J64" i="77"/>
  <c r="G64" i="77"/>
  <c r="F64" i="77"/>
  <c r="K63" i="77"/>
  <c r="J63" i="77"/>
  <c r="G63" i="77"/>
  <c r="F63" i="77"/>
  <c r="K62" i="77"/>
  <c r="J62" i="77"/>
  <c r="G62" i="77"/>
  <c r="F62" i="77"/>
  <c r="K61" i="77"/>
  <c r="J61" i="77"/>
  <c r="G61" i="77"/>
  <c r="F61" i="77"/>
  <c r="K60" i="77"/>
  <c r="J60" i="77"/>
  <c r="G60" i="77"/>
  <c r="F60" i="77"/>
  <c r="K59" i="77"/>
  <c r="J59" i="77"/>
  <c r="G59" i="77"/>
  <c r="F59" i="77"/>
  <c r="K58" i="77"/>
  <c r="J58" i="77"/>
  <c r="G58" i="77"/>
  <c r="F58" i="77"/>
  <c r="J56" i="77"/>
  <c r="G56" i="77"/>
  <c r="F56" i="77"/>
  <c r="J54" i="77"/>
  <c r="G54" i="77"/>
  <c r="F54" i="77"/>
  <c r="K53" i="77"/>
  <c r="J53" i="77"/>
  <c r="G53" i="77"/>
  <c r="F53" i="77"/>
  <c r="K52" i="77"/>
  <c r="J52" i="77"/>
  <c r="G52" i="77"/>
  <c r="F52" i="77"/>
  <c r="K51" i="77"/>
  <c r="J51" i="77"/>
  <c r="G51" i="77"/>
  <c r="F51" i="77"/>
  <c r="K50" i="77"/>
  <c r="J50" i="77"/>
  <c r="G50" i="77"/>
  <c r="F50" i="77"/>
  <c r="K49" i="77"/>
  <c r="J49" i="77"/>
  <c r="G49" i="77"/>
  <c r="F49" i="77"/>
  <c r="K48" i="77"/>
  <c r="J48" i="77"/>
  <c r="G48" i="77"/>
  <c r="F48" i="77"/>
  <c r="K47" i="77"/>
  <c r="J47" i="77"/>
  <c r="G47" i="77"/>
  <c r="F47" i="77"/>
  <c r="K46" i="77"/>
  <c r="J46" i="77"/>
  <c r="G46" i="77"/>
  <c r="F46" i="77"/>
  <c r="K45" i="77"/>
  <c r="J45" i="77"/>
  <c r="G45" i="77"/>
  <c r="F45" i="77"/>
  <c r="K44" i="77"/>
  <c r="J44" i="77"/>
  <c r="G44" i="77"/>
  <c r="F44" i="77"/>
  <c r="K43" i="77"/>
  <c r="J43" i="77"/>
  <c r="M43" i="77" s="1"/>
  <c r="G43" i="77"/>
  <c r="F43" i="77"/>
  <c r="J41" i="77"/>
  <c r="G41" i="77"/>
  <c r="F41" i="77"/>
  <c r="K40" i="77"/>
  <c r="J40" i="77"/>
  <c r="G40" i="77"/>
  <c r="F40" i="77"/>
  <c r="K39" i="77"/>
  <c r="J39" i="77"/>
  <c r="G39" i="77"/>
  <c r="F39" i="77"/>
  <c r="K38" i="77"/>
  <c r="J38" i="77"/>
  <c r="G38" i="77"/>
  <c r="F38" i="77"/>
  <c r="K37" i="77"/>
  <c r="J37" i="77"/>
  <c r="G37" i="77"/>
  <c r="F37" i="77"/>
  <c r="K36" i="77"/>
  <c r="J36" i="77"/>
  <c r="L36" i="77" s="1"/>
  <c r="G36" i="77"/>
  <c r="F36" i="77"/>
  <c r="K35" i="77"/>
  <c r="J35" i="77"/>
  <c r="L35" i="77" s="1"/>
  <c r="G35" i="77"/>
  <c r="F35" i="77"/>
  <c r="K34" i="77"/>
  <c r="J34" i="77"/>
  <c r="M34" i="77" s="1"/>
  <c r="G34" i="77"/>
  <c r="F34" i="77"/>
  <c r="K33" i="77"/>
  <c r="J33" i="77"/>
  <c r="G33" i="77"/>
  <c r="F33" i="77"/>
  <c r="K32" i="77"/>
  <c r="J32" i="77"/>
  <c r="G32" i="77"/>
  <c r="F32" i="77"/>
  <c r="K31" i="77"/>
  <c r="J31" i="77"/>
  <c r="G31" i="77"/>
  <c r="F31" i="77"/>
  <c r="K30" i="77"/>
  <c r="J30" i="77"/>
  <c r="G30" i="77"/>
  <c r="F30" i="77"/>
  <c r="J28" i="77"/>
  <c r="G28" i="77"/>
  <c r="F28" i="77"/>
  <c r="K27" i="77"/>
  <c r="J27" i="77"/>
  <c r="G27" i="77"/>
  <c r="F27" i="77"/>
  <c r="K26" i="77"/>
  <c r="J26" i="77"/>
  <c r="G26" i="77"/>
  <c r="F26" i="77"/>
  <c r="K25" i="77"/>
  <c r="J25" i="77"/>
  <c r="G25" i="77"/>
  <c r="F25" i="77"/>
  <c r="J23" i="77"/>
  <c r="G23" i="77"/>
  <c r="F23" i="77"/>
  <c r="J21" i="77"/>
  <c r="G21" i="77"/>
  <c r="F21" i="77"/>
  <c r="K20" i="77"/>
  <c r="J20" i="77"/>
  <c r="G20" i="77"/>
  <c r="F20" i="77"/>
  <c r="J18" i="77"/>
  <c r="G18" i="77"/>
  <c r="F18" i="77"/>
  <c r="K17" i="77"/>
  <c r="J17" i="77"/>
  <c r="G17" i="77"/>
  <c r="F17" i="77"/>
  <c r="K16" i="77"/>
  <c r="J16" i="77"/>
  <c r="G16" i="77"/>
  <c r="F16" i="77"/>
  <c r="K15" i="77"/>
  <c r="J15" i="77"/>
  <c r="G15" i="77"/>
  <c r="F15" i="77"/>
  <c r="K14" i="77"/>
  <c r="J14" i="77"/>
  <c r="G14" i="77"/>
  <c r="F14" i="77"/>
  <c r="K13" i="77"/>
  <c r="J13" i="77"/>
  <c r="G13" i="77"/>
  <c r="F13" i="77"/>
  <c r="K12" i="77"/>
  <c r="J12" i="77"/>
  <c r="G12" i="77"/>
  <c r="F12" i="77"/>
  <c r="K11" i="77"/>
  <c r="J11" i="77"/>
  <c r="G11" i="77"/>
  <c r="F11" i="77"/>
  <c r="K10" i="77"/>
  <c r="J10" i="77"/>
  <c r="G10" i="77"/>
  <c r="F10" i="77"/>
  <c r="K9" i="77"/>
  <c r="J9" i="77"/>
  <c r="G9" i="77"/>
  <c r="F9" i="77"/>
  <c r="K8" i="77"/>
  <c r="J8" i="77"/>
  <c r="G8" i="77"/>
  <c r="F8" i="77"/>
  <c r="J7" i="77"/>
  <c r="E7" i="77"/>
  <c r="K7" i="77" s="1"/>
  <c r="M8" i="77" l="1"/>
  <c r="L31" i="77"/>
  <c r="M44" i="77"/>
  <c r="L51" i="77"/>
  <c r="L52" i="77"/>
  <c r="L61" i="77"/>
  <c r="L142" i="77"/>
  <c r="M143" i="77"/>
  <c r="L144" i="77"/>
  <c r="M145" i="77"/>
  <c r="L149" i="77"/>
  <c r="L108" i="77"/>
  <c r="M109" i="77"/>
  <c r="L110" i="77"/>
  <c r="M177" i="77"/>
  <c r="M20" i="76" s="1"/>
  <c r="J20" i="76"/>
  <c r="M32" i="77"/>
  <c r="M36" i="77"/>
  <c r="L39" i="77"/>
  <c r="M49" i="77"/>
  <c r="L50" i="77"/>
  <c r="M51" i="77"/>
  <c r="M59" i="77"/>
  <c r="L60" i="77"/>
  <c r="M61" i="77"/>
  <c r="L96" i="77"/>
  <c r="L97" i="77"/>
  <c r="M100" i="77"/>
  <c r="L106" i="77"/>
  <c r="L129" i="77"/>
  <c r="L136" i="77"/>
  <c r="L148" i="77"/>
  <c r="L157" i="77"/>
  <c r="L43" i="77"/>
  <c r="M12" i="77"/>
  <c r="L26" i="77"/>
  <c r="L27" i="77"/>
  <c r="M30" i="77"/>
  <c r="M62" i="77"/>
  <c r="L69" i="77"/>
  <c r="M72" i="77"/>
  <c r="L73" i="77"/>
  <c r="M76" i="77"/>
  <c r="L82" i="77"/>
  <c r="M121" i="77"/>
  <c r="L122" i="77"/>
  <c r="L123" i="77"/>
  <c r="M13" i="77"/>
  <c r="L78" i="77"/>
  <c r="M80" i="77"/>
  <c r="L107" i="77"/>
  <c r="M123" i="77"/>
  <c r="L128" i="77"/>
  <c r="M131" i="77"/>
  <c r="L25" i="77"/>
  <c r="M27" i="77"/>
  <c r="L40" i="77"/>
  <c r="L58" i="77"/>
  <c r="M102" i="77"/>
  <c r="M153" i="77"/>
  <c r="L154" i="77"/>
  <c r="M155" i="77"/>
  <c r="L166" i="77"/>
  <c r="L162" i="77"/>
  <c r="M163" i="77"/>
  <c r="L164" i="77"/>
  <c r="M9" i="77"/>
  <c r="L11" i="77"/>
  <c r="L12" i="77"/>
  <c r="L14" i="77"/>
  <c r="M16" i="77"/>
  <c r="L20" i="77"/>
  <c r="L32" i="77"/>
  <c r="L34" i="77"/>
  <c r="L44" i="77"/>
  <c r="M46" i="77"/>
  <c r="L47" i="77"/>
  <c r="L48" i="77"/>
  <c r="L62" i="77"/>
  <c r="M64" i="77"/>
  <c r="L65" i="77"/>
  <c r="L66" i="77"/>
  <c r="M68" i="77"/>
  <c r="L81" i="77"/>
  <c r="L124" i="77"/>
  <c r="L125" i="77"/>
  <c r="M127" i="77"/>
  <c r="M37" i="77"/>
  <c r="M52" i="77"/>
  <c r="L74" i="77"/>
  <c r="M86" i="77"/>
  <c r="M119" i="77"/>
  <c r="K168" i="77"/>
  <c r="K11" i="76" s="1"/>
  <c r="L141" i="77"/>
  <c r="M146" i="77"/>
  <c r="M148" i="77"/>
  <c r="M17" i="77"/>
  <c r="F7" i="77"/>
  <c r="L8" i="77"/>
  <c r="M14" i="77"/>
  <c r="M38" i="77"/>
  <c r="M40" i="77"/>
  <c r="M50" i="77"/>
  <c r="M60" i="77"/>
  <c r="J133" i="77"/>
  <c r="J9" i="76" s="1"/>
  <c r="M136" i="77"/>
  <c r="L145" i="77"/>
  <c r="M149" i="77"/>
  <c r="M154" i="77"/>
  <c r="M156" i="77"/>
  <c r="J91" i="77"/>
  <c r="J7" i="76" s="1"/>
  <c r="M10" i="77"/>
  <c r="L15" i="77"/>
  <c r="L16" i="77"/>
  <c r="M25" i="77"/>
  <c r="M45" i="77"/>
  <c r="L46" i="77"/>
  <c r="M47" i="77"/>
  <c r="M53" i="77"/>
  <c r="M63" i="77"/>
  <c r="L64" i="77"/>
  <c r="M65" i="77"/>
  <c r="M71" i="77"/>
  <c r="L72" i="77"/>
  <c r="M73" i="77"/>
  <c r="M79" i="77"/>
  <c r="L80" i="77"/>
  <c r="M81" i="77"/>
  <c r="M97" i="77"/>
  <c r="M107" i="77"/>
  <c r="M111" i="77"/>
  <c r="M126" i="77"/>
  <c r="L127" i="77"/>
  <c r="M128" i="77"/>
  <c r="L140" i="77"/>
  <c r="M141" i="77"/>
  <c r="L150" i="77"/>
  <c r="M151" i="77"/>
  <c r="M158" i="77"/>
  <c r="L159" i="77"/>
  <c r="M160" i="77"/>
  <c r="M33" i="77"/>
  <c r="M48" i="77"/>
  <c r="M58" i="77"/>
  <c r="M66" i="77"/>
  <c r="M69" i="77"/>
  <c r="M74" i="77"/>
  <c r="M75" i="77"/>
  <c r="L76" i="77"/>
  <c r="M82" i="77"/>
  <c r="M83" i="77"/>
  <c r="M85" i="77"/>
  <c r="L101" i="77"/>
  <c r="L102" i="77"/>
  <c r="M104" i="77"/>
  <c r="M117" i="77"/>
  <c r="L118" i="77"/>
  <c r="L119" i="77"/>
  <c r="M129" i="77"/>
  <c r="M130" i="77"/>
  <c r="L131" i="77"/>
  <c r="M132" i="77"/>
  <c r="M142" i="77"/>
  <c r="M144" i="77"/>
  <c r="L146" i="77"/>
  <c r="M147" i="77"/>
  <c r="L152" i="77"/>
  <c r="M166" i="77"/>
  <c r="L177" i="77"/>
  <c r="L20" i="76" s="1"/>
  <c r="L103" i="77"/>
  <c r="L104" i="77"/>
  <c r="L111" i="77"/>
  <c r="L93" i="77"/>
  <c r="L94" i="77"/>
  <c r="L99" i="77"/>
  <c r="L100" i="77"/>
  <c r="M7" i="77"/>
  <c r="L7" i="77"/>
  <c r="L10" i="77"/>
  <c r="L30" i="77"/>
  <c r="L38" i="77"/>
  <c r="L45" i="77"/>
  <c r="L49" i="77"/>
  <c r="L53" i="77"/>
  <c r="L59" i="77"/>
  <c r="L63" i="77"/>
  <c r="L67" i="77"/>
  <c r="L71" i="77"/>
  <c r="L75" i="77"/>
  <c r="L79" i="77"/>
  <c r="L83" i="77"/>
  <c r="L126" i="77"/>
  <c r="L130" i="77"/>
  <c r="L143" i="77"/>
  <c r="L147" i="77"/>
  <c r="L151" i="77"/>
  <c r="L155" i="77"/>
  <c r="L161" i="77"/>
  <c r="M161" i="77"/>
  <c r="J168" i="77"/>
  <c r="J11" i="76" s="1"/>
  <c r="L176" i="77"/>
  <c r="L19" i="76" s="1"/>
  <c r="M176" i="77"/>
  <c r="M19" i="76" s="1"/>
  <c r="G7" i="77"/>
  <c r="M11" i="77"/>
  <c r="L13" i="77"/>
  <c r="M20" i="77"/>
  <c r="M31" i="77"/>
  <c r="L33" i="77"/>
  <c r="M39" i="77"/>
  <c r="M93" i="77"/>
  <c r="M96" i="77"/>
  <c r="M101" i="77"/>
  <c r="M106" i="77"/>
  <c r="L109" i="77"/>
  <c r="M110" i="77"/>
  <c r="M112" i="77"/>
  <c r="M118" i="77"/>
  <c r="M122" i="77"/>
  <c r="L135" i="77"/>
  <c r="M157" i="77"/>
  <c r="M165" i="77"/>
  <c r="K133" i="77"/>
  <c r="K9" i="76" s="1"/>
  <c r="L116" i="77"/>
  <c r="L9" i="77"/>
  <c r="M15" i="77"/>
  <c r="L17" i="77"/>
  <c r="M26" i="77"/>
  <c r="M35" i="77"/>
  <c r="L37" i="77"/>
  <c r="J114" i="77"/>
  <c r="M99" i="77"/>
  <c r="M103" i="77"/>
  <c r="M108" i="77"/>
  <c r="M116" i="77"/>
  <c r="M120" i="77"/>
  <c r="M124" i="77"/>
  <c r="L158" i="77"/>
  <c r="M159" i="77"/>
  <c r="M135" i="77"/>
  <c r="M137" i="77" s="1"/>
  <c r="M140" i="77"/>
  <c r="A3" i="81"/>
  <c r="L137" i="77" l="1"/>
  <c r="J181" i="77"/>
  <c r="J8" i="76"/>
  <c r="M133" i="77"/>
  <c r="M9" i="76" s="1"/>
  <c r="L133" i="77"/>
  <c r="L9" i="76" s="1"/>
  <c r="L168" i="77"/>
  <c r="L11" i="76" s="1"/>
  <c r="J172" i="77"/>
  <c r="J178" i="77" s="1"/>
  <c r="M168" i="77"/>
  <c r="M11" i="76" s="1"/>
  <c r="E289" i="29"/>
  <c r="E269" i="29"/>
  <c r="F361" i="78" l="1"/>
  <c r="F360" i="78"/>
  <c r="F359" i="78"/>
  <c r="F358" i="78"/>
  <c r="F357" i="78"/>
  <c r="F356" i="78"/>
  <c r="F349" i="78"/>
  <c r="F350" i="78" s="1"/>
  <c r="I88" i="77" s="1"/>
  <c r="K88" i="77" s="1"/>
  <c r="F206" i="78"/>
  <c r="F207" i="78"/>
  <c r="F208" i="78"/>
  <c r="F209" i="78"/>
  <c r="F210" i="78"/>
  <c r="F211" i="78"/>
  <c r="F212" i="78"/>
  <c r="F205" i="78"/>
  <c r="F201" i="78"/>
  <c r="E85" i="78"/>
  <c r="E84" i="78"/>
  <c r="E80" i="78"/>
  <c r="F81" i="78"/>
  <c r="F59" i="78"/>
  <c r="F42" i="78"/>
  <c r="F28" i="78"/>
  <c r="F12" i="78"/>
  <c r="F44" i="78"/>
  <c r="F43" i="78"/>
  <c r="F30" i="78"/>
  <c r="F29" i="78"/>
  <c r="F14" i="78"/>
  <c r="F13" i="78"/>
  <c r="F138" i="78"/>
  <c r="F147" i="78"/>
  <c r="F146" i="78"/>
  <c r="F145" i="78"/>
  <c r="F144" i="78"/>
  <c r="F143" i="78"/>
  <c r="F142" i="78"/>
  <c r="F141" i="78"/>
  <c r="D140" i="78"/>
  <c r="D139" i="78"/>
  <c r="M88" i="77" l="1"/>
  <c r="L88" i="77"/>
  <c r="F140" i="78"/>
  <c r="F213" i="78"/>
  <c r="I77" i="77" s="1"/>
  <c r="K77" i="77" s="1"/>
  <c r="F362" i="78"/>
  <c r="F139" i="78"/>
  <c r="F364" i="78" l="1"/>
  <c r="I89" i="77" s="1"/>
  <c r="K89" i="77" s="1"/>
  <c r="M77" i="77"/>
  <c r="L77" i="77"/>
  <c r="F148" i="78"/>
  <c r="E73" i="29"/>
  <c r="M89" i="77" l="1"/>
  <c r="L89" i="77"/>
  <c r="F150" i="78"/>
  <c r="I70" i="77" s="1"/>
  <c r="K70" i="77" s="1"/>
  <c r="E71" i="29"/>
  <c r="E64" i="29"/>
  <c r="L70" i="77" l="1"/>
  <c r="M70" i="77"/>
  <c r="E305" i="29"/>
  <c r="E91" i="29" l="1"/>
  <c r="E75" i="29" l="1"/>
  <c r="E285" i="29" l="1"/>
  <c r="E284" i="29"/>
  <c r="E337" i="29"/>
  <c r="E171" i="29"/>
  <c r="E39" i="29" l="1"/>
  <c r="E84" i="29"/>
  <c r="E65" i="29"/>
  <c r="E49" i="29"/>
  <c r="E355" i="29" l="1"/>
  <c r="E290" i="29"/>
  <c r="E272" i="29"/>
  <c r="E271" i="29"/>
  <c r="E99" i="29"/>
  <c r="E76" i="29"/>
  <c r="E95" i="29" l="1"/>
  <c r="F371" i="78"/>
  <c r="F370" i="78"/>
  <c r="F368" i="78" l="1"/>
  <c r="F369" i="78"/>
  <c r="F372" i="78" l="1"/>
  <c r="F433" i="78"/>
  <c r="F432" i="78"/>
  <c r="F424" i="78"/>
  <c r="F425" i="78"/>
  <c r="F417" i="78"/>
  <c r="F416" i="78"/>
  <c r="F409" i="78"/>
  <c r="F408" i="78"/>
  <c r="F334" i="78"/>
  <c r="F335" i="78"/>
  <c r="F336" i="78"/>
  <c r="F337" i="78"/>
  <c r="F338" i="78"/>
  <c r="F339" i="78"/>
  <c r="F340" i="78"/>
  <c r="F341" i="78"/>
  <c r="F342" i="78"/>
  <c r="F333" i="78"/>
  <c r="F325" i="78"/>
  <c r="F326" i="78"/>
  <c r="F324" i="78"/>
  <c r="F317" i="78"/>
  <c r="F318" i="78"/>
  <c r="F316" i="78"/>
  <c r="F309" i="78"/>
  <c r="F310" i="78"/>
  <c r="F308" i="78"/>
  <c r="F299" i="78"/>
  <c r="F300" i="78"/>
  <c r="F301" i="78"/>
  <c r="F302" i="78"/>
  <c r="F298" i="78"/>
  <c r="F93" i="78"/>
  <c r="F94" i="78"/>
  <c r="F95" i="78"/>
  <c r="F96" i="78"/>
  <c r="F97" i="78"/>
  <c r="F98" i="78"/>
  <c r="F99" i="78"/>
  <c r="F100" i="78"/>
  <c r="F101" i="78"/>
  <c r="F102" i="78"/>
  <c r="F103" i="78"/>
  <c r="F104" i="78"/>
  <c r="F105" i="78"/>
  <c r="F106" i="78"/>
  <c r="F107" i="78"/>
  <c r="F108" i="78"/>
  <c r="F109" i="78"/>
  <c r="F110" i="78"/>
  <c r="F111" i="78"/>
  <c r="F112" i="78"/>
  <c r="F113" i="78"/>
  <c r="F92" i="78"/>
  <c r="F282" i="78"/>
  <c r="F283" i="78"/>
  <c r="F284" i="78"/>
  <c r="F285" i="78"/>
  <c r="F286" i="78"/>
  <c r="F287" i="78"/>
  <c r="F288" i="78"/>
  <c r="F289" i="78"/>
  <c r="F290" i="78"/>
  <c r="F291" i="78"/>
  <c r="F292" i="78"/>
  <c r="F281" i="78"/>
  <c r="F266" i="78"/>
  <c r="F267" i="78"/>
  <c r="F268" i="78"/>
  <c r="F269" i="78"/>
  <c r="F270" i="78"/>
  <c r="F271" i="78"/>
  <c r="F272" i="78"/>
  <c r="F273" i="78"/>
  <c r="F274" i="78"/>
  <c r="F275" i="78"/>
  <c r="F265" i="78"/>
  <c r="F250" i="78"/>
  <c r="F251" i="78"/>
  <c r="F252" i="78"/>
  <c r="F253" i="78"/>
  <c r="F254" i="78"/>
  <c r="F255" i="78"/>
  <c r="F256" i="78"/>
  <c r="F257" i="78"/>
  <c r="F258" i="78"/>
  <c r="F259" i="78"/>
  <c r="F249" i="78"/>
  <c r="F234" i="78"/>
  <c r="F235" i="78"/>
  <c r="F236" i="78"/>
  <c r="F237" i="78"/>
  <c r="F238" i="78"/>
  <c r="F239" i="78"/>
  <c r="F240" i="78"/>
  <c r="F241" i="78"/>
  <c r="F242" i="78"/>
  <c r="F233" i="78"/>
  <c r="F220" i="78"/>
  <c r="F221" i="78"/>
  <c r="F222" i="78"/>
  <c r="F223" i="78"/>
  <c r="F224" i="78"/>
  <c r="F225" i="78"/>
  <c r="F226" i="78"/>
  <c r="F219" i="78"/>
  <c r="E391" i="29"/>
  <c r="F374" i="78" l="1"/>
  <c r="I90" i="77" s="1"/>
  <c r="K90" i="77" s="1"/>
  <c r="F418" i="78"/>
  <c r="F434" i="78"/>
  <c r="F410" i="78"/>
  <c r="F327" i="78"/>
  <c r="F426" i="78"/>
  <c r="F276" i="78"/>
  <c r="F343" i="78"/>
  <c r="F345" i="78" s="1"/>
  <c r="I87" i="77" s="1"/>
  <c r="K87" i="77" s="1"/>
  <c r="F319" i="78"/>
  <c r="F260" i="78"/>
  <c r="F311" i="78"/>
  <c r="F313" i="78" s="1"/>
  <c r="I84" i="77" s="1"/>
  <c r="K84" i="77" s="1"/>
  <c r="F227" i="78"/>
  <c r="F293" i="78"/>
  <c r="F114" i="78"/>
  <c r="F116" i="78" s="1"/>
  <c r="H55" i="77" s="1"/>
  <c r="K54" i="77" s="1"/>
  <c r="F303" i="78"/>
  <c r="M87" i="77" l="1"/>
  <c r="L87" i="77"/>
  <c r="L54" i="77"/>
  <c r="M54" i="77"/>
  <c r="L84" i="77"/>
  <c r="M84" i="77"/>
  <c r="L90" i="77"/>
  <c r="M90" i="77"/>
  <c r="C8" i="75"/>
  <c r="E16" i="75" s="1"/>
  <c r="E17" i="75" s="1"/>
  <c r="B7" i="75"/>
  <c r="E18" i="29" l="1"/>
  <c r="E31" i="29"/>
  <c r="E40" i="29"/>
  <c r="E41" i="29"/>
  <c r="E56" i="29"/>
  <c r="E53" i="29"/>
  <c r="E54" i="29"/>
  <c r="E69" i="29"/>
  <c r="E70" i="29"/>
  <c r="E72" i="29"/>
  <c r="E85" i="29"/>
  <c r="E168" i="29"/>
  <c r="E169" i="29"/>
  <c r="E94" i="29"/>
  <c r="E55" i="29"/>
  <c r="E42" i="29"/>
  <c r="E110" i="29"/>
  <c r="E112" i="29" s="1"/>
  <c r="E118" i="29"/>
  <c r="E120" i="29" s="1"/>
  <c r="E125" i="29"/>
  <c r="E143" i="29"/>
  <c r="E146" i="29"/>
  <c r="E153" i="29"/>
  <c r="E155" i="29" s="1"/>
  <c r="E174" i="29"/>
  <c r="E173" i="29"/>
  <c r="E172" i="29"/>
  <c r="E170" i="29"/>
  <c r="E280" i="29"/>
  <c r="E279" i="29"/>
  <c r="E189" i="29"/>
  <c r="E241" i="29"/>
  <c r="E243" i="29" s="1"/>
  <c r="E270" i="29"/>
  <c r="E275" i="29" s="1"/>
  <c r="E282" i="29" l="1"/>
  <c r="E291" i="29" l="1"/>
  <c r="E303" i="29"/>
  <c r="E304" i="29"/>
  <c r="E302" i="29"/>
  <c r="E301" i="29"/>
  <c r="E392" i="29"/>
  <c r="E382" i="29"/>
  <c r="E383" i="29" s="1"/>
  <c r="E379" i="29"/>
  <c r="E380" i="29" s="1"/>
  <c r="E376" i="29"/>
  <c r="E377" i="29" s="1"/>
  <c r="E373" i="29"/>
  <c r="E374" i="29" s="1"/>
  <c r="E344" i="29"/>
  <c r="E388" i="29"/>
  <c r="E389" i="29" s="1"/>
  <c r="E385" i="29"/>
  <c r="E386" i="29" s="1"/>
  <c r="E371" i="29"/>
  <c r="E367" i="29"/>
  <c r="E368" i="29" s="1"/>
  <c r="E364" i="29"/>
  <c r="E365" i="29" s="1"/>
  <c r="E361" i="29"/>
  <c r="E362" i="29" s="1"/>
  <c r="E358" i="29"/>
  <c r="E359" i="29" s="1"/>
  <c r="E356" i="29"/>
  <c r="E352" i="29"/>
  <c r="E353" i="29" s="1"/>
  <c r="E349" i="29"/>
  <c r="E350" i="29" s="1"/>
  <c r="E346" i="29"/>
  <c r="E347" i="29" s="1"/>
  <c r="E340" i="29"/>
  <c r="E341" i="29" s="1"/>
  <c r="E338" i="29"/>
  <c r="E334" i="29"/>
  <c r="E335" i="29" s="1"/>
  <c r="E327" i="29"/>
  <c r="E329" i="29" s="1"/>
  <c r="E11" i="29"/>
  <c r="F74" i="78"/>
  <c r="F76" i="78"/>
  <c r="F80" i="78"/>
  <c r="F78" i="78"/>
  <c r="F77" i="78"/>
  <c r="F75" i="78"/>
  <c r="F73" i="78"/>
  <c r="F72" i="78"/>
  <c r="F83" i="78"/>
  <c r="F84" i="78"/>
  <c r="F82" i="78"/>
  <c r="F85" i="78"/>
  <c r="F79" i="78"/>
  <c r="F86" i="78" l="1"/>
  <c r="F88" i="78" s="1"/>
  <c r="H42" i="77" s="1"/>
  <c r="K41" i="77" s="1"/>
  <c r="L41" i="77" l="1"/>
  <c r="M41" i="77"/>
  <c r="F127" i="78"/>
  <c r="F128" i="78"/>
  <c r="F121" i="78"/>
  <c r="F122" i="78"/>
  <c r="F123" i="78"/>
  <c r="F124" i="78"/>
  <c r="F125" i="78"/>
  <c r="F126" i="78"/>
  <c r="F129" i="78"/>
  <c r="F130" i="78"/>
  <c r="F131" i="78"/>
  <c r="F120" i="78"/>
  <c r="F61" i="78"/>
  <c r="F60" i="78"/>
  <c r="F58" i="78"/>
  <c r="F62" i="78"/>
  <c r="F57" i="78"/>
  <c r="F56" i="78"/>
  <c r="F64" i="78"/>
  <c r="F63" i="78"/>
  <c r="F55" i="78"/>
  <c r="F54" i="78"/>
  <c r="F65" i="78"/>
  <c r="F39" i="78"/>
  <c r="F40" i="78"/>
  <c r="F45" i="78"/>
  <c r="F46" i="78"/>
  <c r="F47" i="78"/>
  <c r="F41" i="78"/>
  <c r="F24" i="78"/>
  <c r="F32" i="78"/>
  <c r="F31" i="78"/>
  <c r="F27" i="78"/>
  <c r="F26" i="78"/>
  <c r="F25" i="78"/>
  <c r="F15" i="78"/>
  <c r="F11" i="78"/>
  <c r="F10" i="78"/>
  <c r="F9" i="78"/>
  <c r="F8" i="78"/>
  <c r="F16" i="78"/>
  <c r="F17" i="78" l="1"/>
  <c r="F19" i="78" s="1"/>
  <c r="H19" i="77" s="1"/>
  <c r="K18" i="77" s="1"/>
  <c r="F132" i="78"/>
  <c r="F134" i="78" s="1"/>
  <c r="H57" i="77" s="1"/>
  <c r="K56" i="77" s="1"/>
  <c r="F66" i="78"/>
  <c r="F68" i="78" s="1"/>
  <c r="H29" i="77" s="1"/>
  <c r="K28" i="77" s="1"/>
  <c r="F48" i="78"/>
  <c r="F50" i="78" s="1"/>
  <c r="H24" i="77" s="1"/>
  <c r="K23" i="77" s="1"/>
  <c r="F33" i="78"/>
  <c r="F35" i="78" s="1"/>
  <c r="H22" i="77" s="1"/>
  <c r="K21" i="77" s="1"/>
  <c r="F392" i="78"/>
  <c r="F393" i="78"/>
  <c r="F394" i="78"/>
  <c r="L56" i="77" l="1"/>
  <c r="M56" i="77"/>
  <c r="M18" i="77"/>
  <c r="L18" i="77"/>
  <c r="M21" i="77"/>
  <c r="L21" i="77"/>
  <c r="M23" i="77"/>
  <c r="L23" i="77"/>
  <c r="M28" i="77"/>
  <c r="L28" i="77"/>
  <c r="K91" i="77"/>
  <c r="F395" i="78"/>
  <c r="F397" i="78" s="1"/>
  <c r="I113" i="77" s="1"/>
  <c r="K113" i="77" s="1"/>
  <c r="E331" i="29"/>
  <c r="E332" i="29" s="1"/>
  <c r="E326" i="29"/>
  <c r="E328" i="29" s="1"/>
  <c r="E323" i="29"/>
  <c r="E324" i="29" s="1"/>
  <c r="E320" i="29"/>
  <c r="E321" i="29" s="1"/>
  <c r="E315" i="29"/>
  <c r="E312" i="29"/>
  <c r="E313" i="29" s="1"/>
  <c r="E309" i="29"/>
  <c r="E310" i="29" s="1"/>
  <c r="E300" i="29"/>
  <c r="E299" i="29"/>
  <c r="E298" i="29"/>
  <c r="E297" i="29"/>
  <c r="E296" i="29"/>
  <c r="E295" i="29"/>
  <c r="E288" i="29"/>
  <c r="E287" i="29"/>
  <c r="E286" i="29"/>
  <c r="E278" i="29"/>
  <c r="E277" i="29"/>
  <c r="E268" i="29"/>
  <c r="E267" i="29"/>
  <c r="E266" i="29"/>
  <c r="E265" i="29"/>
  <c r="E264" i="29"/>
  <c r="E261" i="29"/>
  <c r="E260" i="29"/>
  <c r="E257" i="29"/>
  <c r="E258" i="29" s="1"/>
  <c r="E254" i="29"/>
  <c r="E255" i="29" s="1"/>
  <c r="E252" i="29"/>
  <c r="E249" i="29"/>
  <c r="E245" i="29"/>
  <c r="E246" i="29" s="1"/>
  <c r="E240" i="29"/>
  <c r="E242" i="29" s="1"/>
  <c r="E237" i="29"/>
  <c r="E238" i="29" s="1"/>
  <c r="E232" i="29"/>
  <c r="E231" i="29"/>
  <c r="E228" i="29"/>
  <c r="E229" i="29" s="1"/>
  <c r="E225" i="29"/>
  <c r="E226" i="29" s="1"/>
  <c r="E222" i="29"/>
  <c r="E223" i="29" s="1"/>
  <c r="E219" i="29"/>
  <c r="E220" i="29" s="1"/>
  <c r="E216" i="29"/>
  <c r="E217" i="29" s="1"/>
  <c r="E213" i="29"/>
  <c r="E214" i="29" s="1"/>
  <c r="E210" i="29"/>
  <c r="E211" i="29" s="1"/>
  <c r="E207" i="29"/>
  <c r="E208" i="29" s="1"/>
  <c r="E201" i="29"/>
  <c r="E204" i="29" s="1"/>
  <c r="E198" i="29"/>
  <c r="E199" i="29" s="1"/>
  <c r="E194" i="29"/>
  <c r="E195" i="29" s="1"/>
  <c r="E191" i="29"/>
  <c r="E192" i="29" s="1"/>
  <c r="E181" i="29"/>
  <c r="E180" i="29"/>
  <c r="E179" i="29"/>
  <c r="E178" i="29"/>
  <c r="E166" i="29"/>
  <c r="E165" i="29"/>
  <c r="E164" i="29"/>
  <c r="E163" i="29"/>
  <c r="E162" i="29"/>
  <c r="E161" i="29"/>
  <c r="E160" i="29"/>
  <c r="E159" i="29"/>
  <c r="E158" i="29"/>
  <c r="E157" i="29"/>
  <c r="E152" i="29"/>
  <c r="E154" i="29" s="1"/>
  <c r="E149" i="29"/>
  <c r="E150" i="29" s="1"/>
  <c r="E145" i="29"/>
  <c r="E147" i="29" s="1"/>
  <c r="E139" i="29"/>
  <c r="E142" i="29" s="1"/>
  <c r="E134" i="29"/>
  <c r="E133" i="29"/>
  <c r="E137" i="29" s="1"/>
  <c r="E130" i="29"/>
  <c r="E131" i="29" s="1"/>
  <c r="E127" i="29"/>
  <c r="E128" i="29" s="1"/>
  <c r="E122" i="29"/>
  <c r="E124" i="29" s="1"/>
  <c r="E117" i="29"/>
  <c r="E119" i="29" s="1"/>
  <c r="E114" i="29"/>
  <c r="E115" i="29" s="1"/>
  <c r="E109" i="29"/>
  <c r="E111" i="29" s="1"/>
  <c r="E104" i="29"/>
  <c r="E103" i="29"/>
  <c r="E100" i="29"/>
  <c r="E93" i="29"/>
  <c r="E92" i="29"/>
  <c r="E90" i="29"/>
  <c r="E97" i="29" s="1"/>
  <c r="E88" i="29"/>
  <c r="E83" i="29"/>
  <c r="E82" i="29"/>
  <c r="E68" i="29"/>
  <c r="E78" i="29" s="1"/>
  <c r="E67" i="29"/>
  <c r="E66" i="29"/>
  <c r="E63" i="29"/>
  <c r="E62" i="29"/>
  <c r="E52" i="29"/>
  <c r="E51" i="29"/>
  <c r="E50" i="29"/>
  <c r="E48" i="29"/>
  <c r="E47" i="29"/>
  <c r="E46" i="29"/>
  <c r="E38" i="29"/>
  <c r="E37" i="29"/>
  <c r="E36" i="29"/>
  <c r="E33" i="29"/>
  <c r="E34" i="29" s="1"/>
  <c r="E28" i="29"/>
  <c r="E30" i="29" s="1"/>
  <c r="E26" i="29"/>
  <c r="E17" i="29"/>
  <c r="E10" i="29"/>
  <c r="E9" i="29"/>
  <c r="E8" i="29"/>
  <c r="E7" i="29"/>
  <c r="E6" i="29"/>
  <c r="M113" i="77" l="1"/>
  <c r="M114" i="77" s="1"/>
  <c r="M8" i="76" s="1"/>
  <c r="K114" i="77"/>
  <c r="K8" i="76" s="1"/>
  <c r="L113" i="77"/>
  <c r="L114" i="77" s="1"/>
  <c r="L8" i="76" s="1"/>
  <c r="M91" i="77"/>
  <c r="M7" i="76" s="1"/>
  <c r="L91" i="77"/>
  <c r="L7" i="76" s="1"/>
  <c r="K7" i="76"/>
  <c r="K181" i="77"/>
  <c r="J182" i="77" s="1"/>
  <c r="E307" i="29"/>
  <c r="E60" i="29"/>
  <c r="E77" i="29"/>
  <c r="E81" i="29"/>
  <c r="E44" i="29"/>
  <c r="E19" i="29"/>
  <c r="E20" i="29"/>
  <c r="E176" i="29"/>
  <c r="E96" i="29"/>
  <c r="E107" i="29"/>
  <c r="E175" i="29"/>
  <c r="E235" i="29"/>
  <c r="E234" i="29"/>
  <c r="E293" i="29"/>
  <c r="E13" i="29"/>
  <c r="E12" i="29"/>
  <c r="E306" i="29"/>
  <c r="E317" i="29"/>
  <c r="E318" i="29"/>
  <c r="E136" i="29"/>
  <c r="E281" i="29"/>
  <c r="E188" i="29"/>
  <c r="E262" i="29"/>
  <c r="E87" i="29"/>
  <c r="E101" i="29"/>
  <c r="E274" i="29"/>
  <c r="E43" i="29"/>
  <c r="E59" i="29"/>
  <c r="E106" i="29"/>
  <c r="E292" i="29"/>
  <c r="K170" i="77" l="1"/>
  <c r="K169" i="77"/>
  <c r="E80" i="29"/>
  <c r="K13" i="76" l="1"/>
  <c r="L170" i="77"/>
  <c r="L13" i="76" s="1"/>
  <c r="M170" i="77"/>
  <c r="M13" i="76" s="1"/>
  <c r="L169" i="77"/>
  <c r="M169" i="77"/>
  <c r="M12" i="76" s="1"/>
  <c r="K171" i="77"/>
  <c r="K12" i="76"/>
  <c r="K34" i="52"/>
  <c r="D8" i="52"/>
  <c r="L12" i="76" l="1"/>
  <c r="M182" i="77"/>
  <c r="P169" i="77" s="1"/>
  <c r="Q170" i="77" s="1"/>
  <c r="K172" i="77"/>
  <c r="L171" i="77"/>
  <c r="L14" i="76" s="1"/>
  <c r="M171" i="77"/>
  <c r="M14" i="76" s="1"/>
  <c r="M15" i="76" s="1"/>
  <c r="E6" i="75" s="1"/>
  <c r="K14" i="76"/>
  <c r="B9" i="75"/>
  <c r="B3" i="29"/>
  <c r="L172" i="77" l="1"/>
  <c r="L15" i="76"/>
  <c r="F22" i="76" s="1"/>
  <c r="K175" i="77"/>
  <c r="P172" i="77"/>
  <c r="K15" i="76"/>
  <c r="K174" i="77"/>
  <c r="M172" i="77"/>
  <c r="E8" i="75"/>
  <c r="B8" i="75"/>
  <c r="K178" i="77" l="1"/>
  <c r="P178" i="77" s="1"/>
  <c r="D6" i="75"/>
  <c r="C6" i="75"/>
  <c r="B6" i="81"/>
  <c r="Q172" i="77"/>
  <c r="L175" i="77"/>
  <c r="L18" i="76" s="1"/>
  <c r="D7" i="75" s="1"/>
  <c r="M175" i="77"/>
  <c r="M18" i="76" s="1"/>
  <c r="E7" i="75" s="1"/>
  <c r="K18" i="76"/>
  <c r="M174" i="77"/>
  <c r="M17" i="76" s="1"/>
  <c r="E9" i="75" s="1"/>
  <c r="K17" i="76"/>
  <c r="L174" i="77"/>
  <c r="O10" i="76"/>
  <c r="L17" i="76" l="1"/>
  <c r="D9" i="75" s="1"/>
  <c r="L178" i="77"/>
  <c r="M178" i="77"/>
  <c r="P10" i="76"/>
  <c r="J15" i="76"/>
  <c r="F23" i="76" s="1"/>
  <c r="I22" i="76" s="1"/>
  <c r="Q178" i="77" l="1"/>
  <c r="B9" i="81"/>
  <c r="J21" i="76"/>
  <c r="B6" i="75"/>
  <c r="B11" i="75" s="1"/>
  <c r="B4" i="29" l="1"/>
  <c r="O7" i="76" l="1"/>
  <c r="P7" i="76" l="1"/>
  <c r="O12" i="76" l="1"/>
  <c r="O15" i="76" l="1"/>
  <c r="P15" i="76"/>
  <c r="D8" i="75"/>
  <c r="E11" i="75" l="1"/>
  <c r="K21" i="76"/>
  <c r="O21" i="76" s="1"/>
  <c r="C9" i="75"/>
  <c r="F16" i="75" s="1"/>
  <c r="F17" i="75" s="1"/>
  <c r="C16" i="75"/>
  <c r="C17" i="75" s="1"/>
  <c r="C7" i="75"/>
  <c r="D16" i="75" s="1"/>
  <c r="D17" i="75" s="1"/>
  <c r="M21" i="76"/>
  <c r="D11" i="75" l="1"/>
  <c r="L21" i="76"/>
  <c r="P21" i="76" s="1"/>
  <c r="C11" i="75"/>
  <c r="G16" i="75" l="1"/>
  <c r="G17" i="75" s="1"/>
</calcChain>
</file>

<file path=xl/sharedStrings.xml><?xml version="1.0" encoding="utf-8"?>
<sst xmlns="http://schemas.openxmlformats.org/spreadsheetml/2006/main" count="2699" uniqueCount="1367">
  <si>
    <t>單位</t>
  </si>
  <si>
    <t>工程名稱</t>
    <phoneticPr fontId="13" type="noConversion"/>
  </si>
  <si>
    <t>工程編號</t>
    <phoneticPr fontId="13" type="noConversion"/>
  </si>
  <si>
    <t>施工地點</t>
    <phoneticPr fontId="13" type="noConversion"/>
  </si>
  <si>
    <t>經費來源</t>
    <phoneticPr fontId="13" type="noConversion"/>
  </si>
  <si>
    <t>編製日期</t>
    <phoneticPr fontId="13" type="noConversion"/>
  </si>
  <si>
    <t>工務課</t>
    <phoneticPr fontId="10" type="noConversion"/>
  </si>
  <si>
    <t xml:space="preserve"> </t>
    <phoneticPr fontId="13" type="noConversion"/>
  </si>
  <si>
    <t>副  局  長</t>
    <phoneticPr fontId="10" type="noConversion"/>
  </si>
  <si>
    <t>局      長</t>
    <phoneticPr fontId="10" type="noConversion"/>
  </si>
  <si>
    <t>經濟部水利署第四河川局</t>
    <phoneticPr fontId="10" type="noConversion"/>
  </si>
  <si>
    <t>M</t>
  </si>
  <si>
    <t>經濟部水利署第四河川局</t>
    <phoneticPr fontId="4" type="noConversion"/>
  </si>
  <si>
    <t>工程數量計算表</t>
    <phoneticPr fontId="5" type="noConversion"/>
  </si>
  <si>
    <t>合計</t>
    <phoneticPr fontId="5" type="noConversion"/>
  </si>
  <si>
    <t>-</t>
    <phoneticPr fontId="5" type="noConversion"/>
  </si>
  <si>
    <t>經濟部水利署第四河川局</t>
    <phoneticPr fontId="5" type="noConversion"/>
  </si>
  <si>
    <t>課   長</t>
    <phoneticPr fontId="10" type="noConversion"/>
  </si>
  <si>
    <t>主計室</t>
    <phoneticPr fontId="10" type="noConversion"/>
  </si>
  <si>
    <t>承   辦</t>
    <phoneticPr fontId="10" type="noConversion"/>
  </si>
  <si>
    <t>複   核</t>
    <phoneticPr fontId="10" type="noConversion"/>
  </si>
  <si>
    <t>主   任</t>
    <phoneticPr fontId="10" type="noConversion"/>
  </si>
  <si>
    <r>
      <rPr>
        <sz val="15"/>
        <rFont val="標楷體"/>
        <family val="4"/>
        <charset val="136"/>
      </rPr>
      <t>經濟部水利署第四河川局</t>
    </r>
    <phoneticPr fontId="13" type="noConversion"/>
  </si>
  <si>
    <r>
      <rPr>
        <sz val="15"/>
        <rFont val="標楷體"/>
        <family val="4"/>
        <charset val="136"/>
      </rPr>
      <t>第一次變更設計</t>
    </r>
    <r>
      <rPr>
        <sz val="15"/>
        <color indexed="8"/>
        <rFont val="標楷體"/>
        <family val="4"/>
        <charset val="136"/>
      </rPr>
      <t>預算總表</t>
    </r>
    <phoneticPr fontId="13" type="noConversion"/>
  </si>
  <si>
    <r>
      <rPr>
        <sz val="11"/>
        <color indexed="10"/>
        <rFont val="標楷體"/>
        <family val="4"/>
        <charset val="136"/>
      </rPr>
      <t>紅字表示變更設計</t>
    </r>
    <phoneticPr fontId="13" type="noConversion"/>
  </si>
  <si>
    <r>
      <rPr>
        <sz val="12"/>
        <rFont val="標楷體"/>
        <family val="4"/>
        <charset val="136"/>
      </rPr>
      <t>項次</t>
    </r>
    <phoneticPr fontId="5" type="noConversion"/>
  </si>
  <si>
    <r>
      <rPr>
        <sz val="12"/>
        <rFont val="標楷體"/>
        <family val="4"/>
        <charset val="136"/>
      </rPr>
      <t>項目及說明</t>
    </r>
    <phoneticPr fontId="5" type="noConversion"/>
  </si>
  <si>
    <r>
      <rPr>
        <sz val="12"/>
        <rFont val="標楷體"/>
        <family val="4"/>
        <charset val="136"/>
      </rPr>
      <t>單位</t>
    </r>
    <phoneticPr fontId="5" type="noConversion"/>
  </si>
  <si>
    <r>
      <rPr>
        <sz val="12"/>
        <rFont val="標楷體"/>
        <family val="4"/>
        <charset val="136"/>
      </rPr>
      <t>原定數量</t>
    </r>
    <phoneticPr fontId="5" type="noConversion"/>
  </si>
  <si>
    <r>
      <rPr>
        <sz val="12"/>
        <rFont val="標楷體"/>
        <family val="4"/>
        <charset val="136"/>
      </rPr>
      <t>變更後
數量</t>
    </r>
    <phoneticPr fontId="5" type="noConversion"/>
  </si>
  <si>
    <r>
      <rPr>
        <sz val="12"/>
        <rFont val="標楷體"/>
        <family val="4"/>
        <charset val="136"/>
      </rPr>
      <t>增減數量</t>
    </r>
    <phoneticPr fontId="5" type="noConversion"/>
  </si>
  <si>
    <r>
      <rPr>
        <sz val="12"/>
        <rFont val="標楷體"/>
        <family val="4"/>
        <charset val="136"/>
      </rPr>
      <t>單價</t>
    </r>
    <phoneticPr fontId="5" type="noConversion"/>
  </si>
  <si>
    <r>
      <rPr>
        <sz val="12"/>
        <rFont val="標楷體"/>
        <family val="4"/>
        <charset val="136"/>
      </rPr>
      <t>新單價</t>
    </r>
    <phoneticPr fontId="5" type="noConversion"/>
  </si>
  <si>
    <r>
      <rPr>
        <sz val="12"/>
        <rFont val="標楷體"/>
        <family val="4"/>
        <charset val="136"/>
      </rPr>
      <t>原定合價</t>
    </r>
    <phoneticPr fontId="5" type="noConversion"/>
  </si>
  <si>
    <r>
      <rPr>
        <sz val="12"/>
        <rFont val="標楷體"/>
        <family val="4"/>
        <charset val="136"/>
      </rPr>
      <t>變更後
合價</t>
    </r>
    <phoneticPr fontId="5" type="noConversion"/>
  </si>
  <si>
    <r>
      <rPr>
        <sz val="12"/>
        <rFont val="標楷體"/>
        <family val="4"/>
        <charset val="136"/>
      </rPr>
      <t>增減合價</t>
    </r>
    <phoneticPr fontId="5" type="noConversion"/>
  </si>
  <si>
    <r>
      <rPr>
        <sz val="12"/>
        <rFont val="標楷體"/>
        <family val="4"/>
        <charset val="136"/>
      </rPr>
      <t>備註</t>
    </r>
    <phoneticPr fontId="5" type="noConversion"/>
  </si>
  <si>
    <r>
      <rPr>
        <sz val="12"/>
        <rFont val="標楷體"/>
        <family val="4"/>
        <charset val="136"/>
      </rPr>
      <t>增加</t>
    </r>
    <phoneticPr fontId="5" type="noConversion"/>
  </si>
  <si>
    <r>
      <rPr>
        <sz val="12"/>
        <rFont val="標楷體"/>
        <family val="4"/>
        <charset val="136"/>
      </rPr>
      <t>減少</t>
    </r>
    <phoneticPr fontId="5" type="noConversion"/>
  </si>
  <si>
    <r>
      <rPr>
        <sz val="12"/>
        <rFont val="標楷體"/>
        <family val="4"/>
        <charset val="136"/>
      </rPr>
      <t>壹</t>
    </r>
  </si>
  <si>
    <r>
      <rPr>
        <sz val="12"/>
        <rFont val="標楷體"/>
        <family val="4"/>
        <charset val="136"/>
      </rPr>
      <t>發包工作費</t>
    </r>
  </si>
  <si>
    <t>全</t>
  </si>
  <si>
    <t>職業安全衛生費</t>
  </si>
  <si>
    <t>環境保護措施費</t>
  </si>
  <si>
    <t>品質管制作業費</t>
  </si>
  <si>
    <t>營業稅(5%)</t>
  </si>
  <si>
    <r>
      <t xml:space="preserve"> </t>
    </r>
    <r>
      <rPr>
        <sz val="12"/>
        <rFont val="標楷體"/>
        <family val="4"/>
        <charset val="136"/>
      </rPr>
      <t>發包工程費</t>
    </r>
    <phoneticPr fontId="5" type="noConversion"/>
  </si>
  <si>
    <r>
      <rPr>
        <sz val="12"/>
        <rFont val="標楷體"/>
        <family val="4"/>
        <charset val="136"/>
      </rPr>
      <t>全</t>
    </r>
  </si>
  <si>
    <t>‵</t>
    <phoneticPr fontId="5" type="noConversion"/>
  </si>
  <si>
    <r>
      <rPr>
        <sz val="12"/>
        <rFont val="標楷體"/>
        <family val="4"/>
        <charset val="136"/>
      </rPr>
      <t>總計</t>
    </r>
    <phoneticPr fontId="5" type="noConversion"/>
  </si>
  <si>
    <t>三、修正施工經費比較表：</t>
  </si>
  <si>
    <r>
      <t>項</t>
    </r>
    <r>
      <rPr>
        <sz val="14"/>
        <rFont val="Times New Roman"/>
        <family val="1"/>
      </rPr>
      <t xml:space="preserve">    </t>
    </r>
    <r>
      <rPr>
        <sz val="14"/>
        <rFont val="標楷體"/>
        <family val="4"/>
        <charset val="136"/>
      </rPr>
      <t>目</t>
    </r>
  </si>
  <si>
    <r>
      <t xml:space="preserve">原金額
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元</t>
    </r>
    <r>
      <rPr>
        <sz val="14"/>
        <rFont val="Times New Roman"/>
        <family val="1"/>
      </rPr>
      <t>)</t>
    </r>
  </si>
  <si>
    <r>
      <t>修正施工後
金額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元</t>
    </r>
    <r>
      <rPr>
        <sz val="14"/>
        <rFont val="Times New Roman"/>
        <family val="1"/>
      </rPr>
      <t>)</t>
    </r>
  </si>
  <si>
    <r>
      <t>第一次
修正施工金額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元</t>
    </r>
    <r>
      <rPr>
        <sz val="14"/>
        <rFont val="Times New Roman"/>
        <family val="1"/>
      </rPr>
      <t>)</t>
    </r>
  </si>
  <si>
    <t>備註</t>
    <phoneticPr fontId="5" type="noConversion"/>
  </si>
  <si>
    <t>增加</t>
  </si>
  <si>
    <t>減少</t>
  </si>
  <si>
    <t>發包工作費</t>
  </si>
  <si>
    <t>空污費</t>
    <phoneticPr fontId="13" type="noConversion"/>
  </si>
  <si>
    <t>抽驗費</t>
    <phoneticPr fontId="13" type="noConversion"/>
  </si>
  <si>
    <t>工程管理費</t>
    <phoneticPr fontId="13" type="noConversion"/>
  </si>
  <si>
    <t>總工程費</t>
  </si>
  <si>
    <t>四、經費分擔表：</t>
  </si>
  <si>
    <t xml:space="preserve">               項目
 財源</t>
  </si>
  <si>
    <t>發包工作費</t>
    <phoneticPr fontId="13" type="noConversion"/>
  </si>
  <si>
    <t>空污費</t>
  </si>
  <si>
    <t>其他費</t>
    <phoneticPr fontId="13" type="noConversion"/>
  </si>
  <si>
    <t>合   計</t>
  </si>
  <si>
    <r>
      <t>合</t>
    </r>
    <r>
      <rPr>
        <sz val="14"/>
        <rFont val="Times New Roman"/>
        <family val="1"/>
      </rPr>
      <t xml:space="preserve">    </t>
    </r>
    <r>
      <rPr>
        <sz val="14"/>
        <rFont val="標楷體"/>
        <family val="4"/>
        <charset val="136"/>
      </rPr>
      <t>計</t>
    </r>
  </si>
  <si>
    <t>五、經費來源：</t>
  </si>
  <si>
    <t>1</t>
  </si>
  <si>
    <t>M3</t>
  </si>
  <si>
    <t>2</t>
  </si>
  <si>
    <t>3</t>
  </si>
  <si>
    <t>M2</t>
  </si>
  <si>
    <t>4</t>
  </si>
  <si>
    <t>結構用混凝土，預拌，210kgf/cm2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</si>
  <si>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</si>
  <si>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</si>
  <si>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</si>
  <si>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</si>
  <si>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</si>
  <si>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</si>
  <si>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</si>
  <si>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</si>
  <si>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</si>
  <si>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</si>
  <si>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</si>
  <si>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</si>
  <si>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</si>
  <si>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</si>
  <si>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</si>
  <si>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</si>
  <si>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</si>
  <si>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</si>
  <si>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</si>
  <si>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</si>
  <si>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</si>
  <si>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</si>
  <si>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只</t>
  </si>
  <si>
    <t>27</t>
  </si>
  <si>
    <t>組</t>
  </si>
  <si>
    <t>28</t>
  </si>
  <si>
    <t>29</t>
  </si>
  <si>
    <t>30</t>
  </si>
  <si>
    <t>31</t>
  </si>
  <si>
    <t>32</t>
  </si>
  <si>
    <t>33</t>
  </si>
  <si>
    <t>座</t>
  </si>
  <si>
    <t>34</t>
  </si>
  <si>
    <t>35</t>
  </si>
  <si>
    <t>36</t>
  </si>
  <si>
    <t>37</t>
  </si>
  <si>
    <t>38</t>
  </si>
  <si>
    <t>株</t>
  </si>
  <si>
    <t>39</t>
  </si>
  <si>
    <t>植栽，客土</t>
  </si>
  <si>
    <t>面</t>
  </si>
  <si>
    <t>式</t>
  </si>
  <si>
    <t>三</t>
  </si>
  <si>
    <t>次</t>
  </si>
  <si>
    <t>產品，工地臨時建築設施，臨時廁所</t>
  </si>
  <si>
    <t>盞</t>
  </si>
  <si>
    <t>四</t>
  </si>
  <si>
    <t>五</t>
  </si>
  <si>
    <t>支</t>
  </si>
  <si>
    <t xml:space="preserve"> 總價(總計)</t>
    <phoneticPr fontId="5" type="noConversion"/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</si>
  <si>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</si>
  <si>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</si>
  <si>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</si>
  <si>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</si>
  <si>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</si>
  <si>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</si>
  <si>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</si>
  <si>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</si>
  <si>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</si>
  <si>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</si>
  <si>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</si>
  <si>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</si>
  <si>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</si>
  <si>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</si>
  <si>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</si>
  <si>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</si>
  <si>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</si>
  <si>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</si>
  <si>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</si>
  <si>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</si>
  <si>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</si>
  <si>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土方工作，回填方</t>
  </si>
  <si>
    <t>塊</t>
  </si>
  <si>
    <t>62</t>
  </si>
  <si>
    <t>63</t>
  </si>
  <si>
    <t>第一次修正施工(變更設計)預算書</t>
    <phoneticPr fontId="10" type="noConversion"/>
  </si>
  <si>
    <t>工程名稱：濁水溪許厝寮堤段整體環境改善工程</t>
    <phoneticPr fontId="9" type="noConversion"/>
  </si>
  <si>
    <t>施工地點：雲林縣麥寮鄉</t>
    <phoneticPr fontId="9" type="noConversion"/>
  </si>
  <si>
    <t>濁水溪許厝寮堤段整體環境改善工程</t>
    <phoneticPr fontId="13" type="noConversion"/>
  </si>
  <si>
    <t>雲林縣麥寮鄉</t>
    <phoneticPr fontId="13" type="noConversion"/>
  </si>
  <si>
    <t>工 程 計 畫 說 明 書</t>
    <phoneticPr fontId="13" type="noConversion"/>
  </si>
  <si>
    <t>一、工程概要：</t>
    <phoneticPr fontId="13" type="noConversion"/>
  </si>
  <si>
    <t>01.主辦單位：</t>
    <phoneticPr fontId="13" type="noConversion"/>
  </si>
  <si>
    <t>02.工程名稱：</t>
    <phoneticPr fontId="13" type="noConversion"/>
  </si>
  <si>
    <t>03.工程地點：</t>
    <phoneticPr fontId="13" type="noConversion"/>
  </si>
  <si>
    <t>雲林縣麥寮鄉</t>
    <phoneticPr fontId="5" type="noConversion"/>
  </si>
  <si>
    <t>04.計畫緣由：</t>
    <phoneticPr fontId="13" type="noConversion"/>
  </si>
  <si>
    <t xml:space="preserve">經濟部水利署第四河川局自107年起針對麥寮地區揚塵的防制作為近年已見成效，雲林縣政府及麥寮在地NGO團體進而提出地方創生國家戰略計畫，結合地景、生態、歷史文化及產業等進行環境營造規劃，亦奉國發會支持同意。為共同提升水岸環境地方特色，於所轄濁水溪出海口南岸高灘地提出本計畫。
</t>
    <phoneticPr fontId="5" type="noConversion"/>
  </si>
  <si>
    <t>05.經費內容：</t>
    <phoneticPr fontId="13" type="noConversion"/>
  </si>
  <si>
    <r>
      <t>總工程費</t>
    </r>
    <r>
      <rPr>
        <sz val="14"/>
        <rFont val="華康中圓體"/>
        <family val="3"/>
        <charset val="136"/>
      </rPr>
      <t>：</t>
    </r>
    <phoneticPr fontId="13" type="noConversion"/>
  </si>
  <si>
    <t>元</t>
    <phoneticPr fontId="13" type="noConversion"/>
  </si>
  <si>
    <t>發包工作費：</t>
    <phoneticPr fontId="5" type="noConversion"/>
  </si>
  <si>
    <t>工程管理費：</t>
    <phoneticPr fontId="5" type="noConversion"/>
  </si>
  <si>
    <t>空氣污染防制費：</t>
    <phoneticPr fontId="5" type="noConversion"/>
  </si>
  <si>
    <t>材料抽驗費：</t>
    <phoneticPr fontId="5" type="noConversion"/>
  </si>
  <si>
    <t>用地範圍鑑界費：</t>
    <phoneticPr fontId="13" type="noConversion"/>
  </si>
  <si>
    <t>二、工程內容及數量：</t>
    <phoneticPr fontId="13" type="noConversion"/>
  </si>
  <si>
    <t>1.八號入口區：堤前覆土緩坡兩處、多功能停車區乙處、八號至生態池步道改善、
              堤頂舖面改善、腳踏車停放區乙處入口意象乙處、牆面美化乙處、
              立體雕塑兩組、植栽綠美化。</t>
    <phoneticPr fontId="13" type="noConversion"/>
  </si>
  <si>
    <t>2. 生態池區 ：生態島乙處、步道改善、賞鳥隧道三處、腳踏車停放區乙處、
              植栽綠美化。</t>
    <phoneticPr fontId="13" type="noConversion"/>
  </si>
  <si>
    <t>三、受益面積：</t>
    <phoneticPr fontId="13" type="noConversion"/>
  </si>
  <si>
    <t>估計可改善濁水溪高灘地及周邊環境面積約4.2公頃。</t>
    <phoneticPr fontId="5" type="noConversion"/>
  </si>
  <si>
    <t>四、施工期限：</t>
    <phoneticPr fontId="5" type="noConversion"/>
  </si>
  <si>
    <t>施工計畫日曆天數：</t>
    <phoneticPr fontId="5" type="noConversion"/>
  </si>
  <si>
    <t>日曆天。</t>
    <phoneticPr fontId="5" type="noConversion"/>
  </si>
  <si>
    <t>*考量候鳥遷徙減少工程擾動故施工期限為360日曆天</t>
    <phoneticPr fontId="13" type="noConversion"/>
  </si>
  <si>
    <t>預定開工日期：</t>
    <phoneticPr fontId="13" type="noConversion"/>
  </si>
  <si>
    <t>預定完工日期：</t>
    <phoneticPr fontId="13" type="noConversion"/>
  </si>
  <si>
    <t>五、經費來源：</t>
    <phoneticPr fontId="13" type="noConversion"/>
  </si>
  <si>
    <t>中央管流域整體改善與調適計畫</t>
    <phoneticPr fontId="5" type="noConversion"/>
  </si>
  <si>
    <t>基地面積</t>
    <phoneticPr fontId="13" type="noConversion"/>
  </si>
  <si>
    <t>m2</t>
    <phoneticPr fontId="13" type="noConversion"/>
  </si>
  <si>
    <t>六、招標方式：</t>
    <phoneticPr fontId="13" type="noConversion"/>
  </si>
  <si>
    <t>公開招標</t>
    <phoneticPr fontId="5" type="noConversion"/>
  </si>
  <si>
    <t>面積</t>
    <phoneticPr fontId="13" type="noConversion"/>
  </si>
  <si>
    <t>人口</t>
    <phoneticPr fontId="13" type="noConversion"/>
  </si>
  <si>
    <t>麥寮鄉</t>
    <phoneticPr fontId="13" type="noConversion"/>
  </si>
  <si>
    <t>中興村</t>
    <phoneticPr fontId="13" type="noConversion"/>
  </si>
  <si>
    <t>三盛村</t>
    <phoneticPr fontId="13" type="noConversion"/>
  </si>
  <si>
    <t>新吉村</t>
    <phoneticPr fontId="13" type="noConversion"/>
  </si>
  <si>
    <t>受益人口</t>
    <phoneticPr fontId="13" type="noConversion"/>
  </si>
  <si>
    <t>經濟部水利署第四河川局</t>
    <phoneticPr fontId="14" type="noConversion"/>
  </si>
  <si>
    <t>基  本  單  價  計  算  表  (丁)</t>
    <phoneticPr fontId="13" type="noConversion"/>
  </si>
  <si>
    <t>工程名稱 :</t>
    <phoneticPr fontId="13" type="noConversion"/>
  </si>
  <si>
    <t>施工地點：</t>
    <phoneticPr fontId="76" type="noConversion"/>
  </si>
  <si>
    <t>基  本  單  價  說  明</t>
    <phoneticPr fontId="13" type="noConversion"/>
  </si>
  <si>
    <t>一、基本工資(依據2021年07月份訪價資料)：</t>
    <phoneticPr fontId="13" type="noConversion"/>
  </si>
  <si>
    <t>普通工</t>
  </si>
  <si>
    <t>半技工</t>
  </si>
  <si>
    <t>技術工</t>
    <phoneticPr fontId="76" type="noConversion"/>
  </si>
  <si>
    <t>堆土機</t>
  </si>
  <si>
    <t>挖土機</t>
  </si>
  <si>
    <t>壓路機</t>
  </si>
  <si>
    <t>洒水車</t>
  </si>
  <si>
    <t>運土車</t>
  </si>
  <si>
    <t>1500元/工</t>
    <phoneticPr fontId="76" type="noConversion"/>
  </si>
  <si>
    <t>900元/HR</t>
  </si>
  <si>
    <t>1300元/HR</t>
    <phoneticPr fontId="76" type="noConversion"/>
  </si>
  <si>
    <t>400元/HR</t>
    <phoneticPr fontId="76" type="noConversion"/>
  </si>
  <si>
    <t>480元/HR</t>
    <phoneticPr fontId="76" type="noConversion"/>
  </si>
  <si>
    <t>1150元/HR</t>
    <phoneticPr fontId="13" type="noConversion"/>
  </si>
  <si>
    <t>二、一般單價(依據2021年07月份訪價資料)：</t>
    <phoneticPr fontId="13" type="noConversion"/>
  </si>
  <si>
    <t>材料名稱</t>
    <phoneticPr fontId="13" type="noConversion"/>
  </si>
  <si>
    <t>單價</t>
  </si>
  <si>
    <t>140kg/cm2預拌混凝土(材料費)</t>
    <phoneticPr fontId="76" type="noConversion"/>
  </si>
  <si>
    <t>2150元/m3</t>
    <phoneticPr fontId="13" type="noConversion"/>
  </si>
  <si>
    <t>210kg/cm2預拌混凝土(材料費)</t>
    <phoneticPr fontId="76" type="noConversion"/>
  </si>
  <si>
    <t>2300元/m3</t>
    <phoneticPr fontId="13" type="noConversion"/>
  </si>
  <si>
    <t>鋼筋SD280</t>
    <phoneticPr fontId="76" type="noConversion"/>
  </si>
  <si>
    <t>22600元/T</t>
    <phoneticPr fontId="13" type="noConversion"/>
  </si>
  <si>
    <t>AC 5cm</t>
    <phoneticPr fontId="76" type="noConversion"/>
  </si>
  <si>
    <t>410元/m2</t>
    <phoneticPr fontId="13" type="noConversion"/>
  </si>
  <si>
    <t>三、挖方：30元/m3，開挖費用</t>
    <phoneticPr fontId="76" type="noConversion"/>
  </si>
  <si>
    <t>四、近運填方：70元/m3，土方近運利用(含開挖費用、回填夯實費用及運費)</t>
    <phoneticPr fontId="13" type="noConversion"/>
  </si>
  <si>
    <t>五、回填方：45元/m3</t>
    <phoneticPr fontId="13" type="noConversion"/>
  </si>
  <si>
    <t>主體工程</t>
  </si>
  <si>
    <t>工地清理，施工前，環境清理</t>
  </si>
  <si>
    <t>土方工作，近運填方</t>
  </si>
  <si>
    <t>土質改良，地盤改良</t>
  </si>
  <si>
    <t>結構用混凝土，140kgf/cm2</t>
  </si>
  <si>
    <t>場鑄結構混凝土用模板，乙種</t>
  </si>
  <si>
    <t>鋼筋，SD280W，含彎紮組立及損耗</t>
  </si>
  <si>
    <t>KG</t>
  </si>
  <si>
    <t>柔性舖面，固化土鋪面(t=15cm)</t>
  </si>
  <si>
    <t>人行道面層，鋪清碎石，2分</t>
  </si>
  <si>
    <t>人行道面層，混凝土舖面，刷毛(t=15cm)</t>
  </si>
  <si>
    <t>混凝土刷毛鋪面，自然壓印處理</t>
  </si>
  <si>
    <t>水泥混凝土舖面，車道鋪面</t>
  </si>
  <si>
    <t>植草磚鋪面</t>
  </si>
  <si>
    <t>混凝土透水舖面，自行車停放區</t>
  </si>
  <si>
    <t>瀝青鋪面(含黏層)，厚5cm</t>
  </si>
  <si>
    <t>瀝青鋪面(含透層)，厚5cm，含碎石級配</t>
  </si>
  <si>
    <t>瀝青表面處理，瀝青LOGO彩繪鋪面</t>
  </si>
  <si>
    <t>瀝青表面處理，單層，瀝青意象彩繪鋪面-波紋</t>
    <phoneticPr fontId="5" type="noConversion"/>
  </si>
  <si>
    <t>標線，反光，厚2mm</t>
  </si>
  <si>
    <t>無障礙標準型標誌</t>
  </si>
  <si>
    <t>仿木階梯</t>
  </si>
  <si>
    <t>混凝土附屬品，2000mmRCP,B-3型管</t>
  </si>
  <si>
    <t>混凝土附屬品，300mmRCP,B-3型管</t>
  </si>
  <si>
    <t>粗木作，入口意象，枕木</t>
  </si>
  <si>
    <t>鋁管，入口意象(造型塔巢)</t>
  </si>
  <si>
    <t>鋁板，入口意象(LOGO及字體)</t>
  </si>
  <si>
    <t>鋁板，入口意象(東方白鸛造型板)</t>
  </si>
  <si>
    <t>導覽牌A(H=2.1M)</t>
  </si>
  <si>
    <t>金屬製品，導覽牌B(H=0.9M)</t>
  </si>
  <si>
    <t>方向指示牌(H=3M)</t>
  </si>
  <si>
    <t>金屬製品，指示牌</t>
  </si>
  <si>
    <t>混凝土護欄，仿木車阻</t>
  </si>
  <si>
    <t>不銹鋼車阻</t>
  </si>
  <si>
    <t>欄杆</t>
  </si>
  <si>
    <t>石材，石椅</t>
  </si>
  <si>
    <t>立體雕塑A</t>
  </si>
  <si>
    <t>立體雕塑B</t>
  </si>
  <si>
    <t>塔巢含不銹鋼平台(1.2*1.2m)</t>
  </si>
  <si>
    <t>擋土牆，造型牆面</t>
  </si>
  <si>
    <t>噴植草，坡面噴植</t>
  </si>
  <si>
    <t>噴植，噴植</t>
  </si>
  <si>
    <t>地工織物，不織布</t>
  </si>
  <si>
    <t>生態護坡，客土袋</t>
  </si>
  <si>
    <t>個</t>
  </si>
  <si>
    <t>喬木，水黃皮，240 ≦ 樹高 &lt; 270㎝，90≦樹幅＜100cm，5 ≦ 米高直徑 &lt; 6㎝</t>
    <phoneticPr fontId="5" type="noConversion"/>
  </si>
  <si>
    <t>雜項工程</t>
  </si>
  <si>
    <t>台灣海桐，240 ≦ 樹高 &lt; 270㎝，90≦樹幅＜100cm，5 ≦ 米高直徑 &lt; 6㎝</t>
    <phoneticPr fontId="5" type="noConversion"/>
  </si>
  <si>
    <t>喬木，黃槿，，240 ≦ 樹高 &lt; 270㎝，90≦樹幅＜100cm，5 ≦ 米高直徑 &lt; 6㎝</t>
    <phoneticPr fontId="5" type="noConversion"/>
  </si>
  <si>
    <t>草海桐，25≦ 高度＜30㎝，15≦寬度＜20cm，7cm≦容器直徑＜10cm</t>
    <phoneticPr fontId="5" type="noConversion"/>
  </si>
  <si>
    <t>一般地被類，馬鞍藤，高度＜20㎝，寬度＜10cm，容器直徑＜10cm</t>
    <phoneticPr fontId="5" type="noConversion"/>
  </si>
  <si>
    <t>蘆葦，30≦高度(枝長)&lt; 40㎝，寬度＜10cm，7cm≦容器直徑＜10cm</t>
    <phoneticPr fontId="5" type="noConversion"/>
  </si>
  <si>
    <t>工程告示牌</t>
  </si>
  <si>
    <t>施工測量</t>
  </si>
  <si>
    <t>施工便道設施及維護費</t>
  </si>
  <si>
    <t>工地清理，高壓洗滌，既有牆面清洗</t>
  </si>
  <si>
    <t>臨時設施，工程用水</t>
  </si>
  <si>
    <t>汛期工地防災減災作業費</t>
  </si>
  <si>
    <t>袪水，擋抽排水</t>
  </si>
  <si>
    <t>施工道路維護費</t>
  </si>
  <si>
    <t>清除及掘除</t>
  </si>
  <si>
    <t>清運處理費</t>
  </si>
  <si>
    <t>既有構造物銜接處理費</t>
  </si>
  <si>
    <t>環境保護，環境監測</t>
  </si>
  <si>
    <t>施工照相及攝(錄)影</t>
  </si>
  <si>
    <t>工程管理，工程品質精進計畫</t>
  </si>
  <si>
    <t>施工前後說明及教育訓練會議</t>
  </si>
  <si>
    <t>施工警告標示</t>
  </si>
  <si>
    <t>產品，夜間照明燈具</t>
  </si>
  <si>
    <t>平面式塑膠警示帶</t>
  </si>
  <si>
    <t>交通錐</t>
  </si>
  <si>
    <t>職業安全衛生，保護器材</t>
  </si>
  <si>
    <t>職業安全衛生，一般器材</t>
  </si>
  <si>
    <t>一般安全欄杆</t>
  </si>
  <si>
    <t>施工圍籬，大門</t>
  </si>
  <si>
    <t>產品，紐澤西護欄，活動式</t>
  </si>
  <si>
    <t>職業安全衛生，安全告示牌</t>
  </si>
  <si>
    <t>洪水暴漲預警人力費</t>
  </si>
  <si>
    <t>環境保護，沖洗設備</t>
  </si>
  <si>
    <t>環境保護，空氣污染防制，防塵網</t>
  </si>
  <si>
    <t>品管人員薪資</t>
  </si>
  <si>
    <t>行政管理費</t>
  </si>
  <si>
    <t>月</t>
  </si>
  <si>
    <t>廠商管理什費(包含利潤、管理)</t>
  </si>
  <si>
    <t>工程保險費</t>
  </si>
  <si>
    <t>工程管理費</t>
  </si>
  <si>
    <t>空氣污染防治費</t>
  </si>
  <si>
    <t>材料抽驗費</t>
  </si>
  <si>
    <t>用地範圍鑑界費</t>
  </si>
  <si>
    <t>貳.一</t>
  </si>
  <si>
    <t>貳.二</t>
  </si>
  <si>
    <t>貳.三</t>
  </si>
  <si>
    <t>貳.四</t>
  </si>
  <si>
    <t>工程名稱：濁水溪許厝寮堤段整體環境改善工程</t>
  </si>
  <si>
    <t>抿石子</t>
    <phoneticPr fontId="5" type="noConversion"/>
  </si>
  <si>
    <t>瀝青表面處理，瀝青意象彩繪鋪面-鳥類</t>
    <phoneticPr fontId="5" type="noConversion"/>
  </si>
  <si>
    <t>瀝青面層刨除，厚5cm，含運費</t>
    <phoneticPr fontId="5" type="noConversion"/>
  </si>
  <si>
    <t>中央管流域整體改善與調適計畫</t>
    <phoneticPr fontId="13" type="noConversion"/>
  </si>
  <si>
    <t>蔓荊，25≦ 高度＜30㎝，15≦寬度＜20cm，7cm≦容器直徑＜10cm</t>
    <phoneticPr fontId="5" type="noConversion"/>
  </si>
  <si>
    <t>施工機械搬運費</t>
  </si>
  <si>
    <t>品質管理，品質管理費，土木工程及建築類檢驗，瀝青篩分析試驗</t>
  </si>
  <si>
    <t>品質管理，品質管理費，土木工程及建築類檢驗，瀝青平坦度試驗</t>
  </si>
  <si>
    <t>品質管理，試驗規範及標準，土木工程及建築類檢驗，熱浸鍍鋅檢驗試驗</t>
  </si>
  <si>
    <t>半阻隔式圍籬</t>
  </si>
  <si>
    <t>濁水溪許厝寮堤段整體環境改善工程</t>
    <phoneticPr fontId="13" type="noConversion"/>
  </si>
  <si>
    <t>2000元/工</t>
    <phoneticPr fontId="76" type="noConversion"/>
  </si>
  <si>
    <t>2500元/工</t>
    <phoneticPr fontId="76" type="noConversion"/>
  </si>
  <si>
    <t>110-B-005-01-001-008</t>
    <phoneticPr fontId="5" type="noConversion"/>
  </si>
  <si>
    <t>工程名稱</t>
    <phoneticPr fontId="10" type="noConversion"/>
  </si>
  <si>
    <t>單位</t>
    <phoneticPr fontId="10" type="noConversion"/>
  </si>
  <si>
    <r>
      <rPr>
        <sz val="12"/>
        <color indexed="8"/>
        <rFont val="標楷體"/>
        <family val="4"/>
        <charset val="136"/>
      </rPr>
      <t>數量</t>
    </r>
    <phoneticPr fontId="10" type="noConversion"/>
  </si>
  <si>
    <t>備註</t>
    <phoneticPr fontId="10" type="noConversion"/>
  </si>
  <si>
    <t>土方清理，施工前，環境清理</t>
    <phoneticPr fontId="10" type="noConversion"/>
  </si>
  <si>
    <t>m²</t>
    <phoneticPr fontId="10" type="noConversion"/>
  </si>
  <si>
    <t>10669.76+1165.28</t>
    <phoneticPr fontId="10" type="noConversion"/>
  </si>
  <si>
    <t>停車場區</t>
    <phoneticPr fontId="10" type="noConversion"/>
  </si>
  <si>
    <t>608+7264</t>
    <phoneticPr fontId="10" type="noConversion"/>
  </si>
  <si>
    <t>八號入口及堤頂</t>
    <phoneticPr fontId="10" type="noConversion"/>
  </si>
  <si>
    <t>4898.69+4894.85</t>
    <phoneticPr fontId="10" type="noConversion"/>
  </si>
  <si>
    <t>堤前緩坡</t>
    <phoneticPr fontId="10" type="noConversion"/>
  </si>
  <si>
    <t>新設步道</t>
    <phoneticPr fontId="10" type="noConversion"/>
  </si>
  <si>
    <t>生態池區</t>
    <phoneticPr fontId="10" type="noConversion"/>
  </si>
  <si>
    <r>
      <rPr>
        <sz val="14"/>
        <color indexed="8"/>
        <rFont val="標楷體"/>
        <family val="4"/>
        <charset val="136"/>
      </rPr>
      <t>計</t>
    </r>
    <phoneticPr fontId="10" type="noConversion"/>
  </si>
  <si>
    <t>土方工作，挖方</t>
    <phoneticPr fontId="10" type="noConversion"/>
  </si>
  <si>
    <t>m³</t>
  </si>
  <si>
    <t>生態池區
(詳土方計算表)</t>
    <phoneticPr fontId="10" type="noConversion"/>
  </si>
  <si>
    <t>停車場區
(詳土方計算表)</t>
    <phoneticPr fontId="10" type="noConversion"/>
  </si>
  <si>
    <t>16.8*3</t>
    <phoneticPr fontId="10" type="noConversion"/>
  </si>
  <si>
    <t>生態廊道</t>
    <phoneticPr fontId="10" type="noConversion"/>
  </si>
  <si>
    <t xml:space="preserve">土方工作，近運填方
</t>
    <phoneticPr fontId="10" type="noConversion"/>
  </si>
  <si>
    <t>m³</t>
    <phoneticPr fontId="10" type="noConversion"/>
  </si>
  <si>
    <t>堤前緩坡-1
(詳土方計算表)</t>
    <phoneticPr fontId="10" type="noConversion"/>
  </si>
  <si>
    <t>堤前緩坡-2
(詳土方計算表)</t>
    <phoneticPr fontId="10" type="noConversion"/>
  </si>
  <si>
    <t>土方工作，回填方</t>
    <phoneticPr fontId="10" type="noConversion"/>
  </si>
  <si>
    <t>土質改良，地盤改良</t>
    <phoneticPr fontId="10" type="noConversion"/>
  </si>
  <si>
    <t>6823*2</t>
    <phoneticPr fontId="10" type="noConversion"/>
  </si>
  <si>
    <t>0.17*58</t>
    <phoneticPr fontId="10" type="noConversion"/>
  </si>
  <si>
    <t>平台擋牆</t>
    <phoneticPr fontId="10" type="noConversion"/>
  </si>
  <si>
    <t>0.22*16</t>
    <phoneticPr fontId="10" type="noConversion"/>
  </si>
  <si>
    <t>斜坡道擋牆</t>
    <phoneticPr fontId="10" type="noConversion"/>
  </si>
  <si>
    <t>L型擋牆</t>
    <phoneticPr fontId="10" type="noConversion"/>
  </si>
  <si>
    <t>L型座椅</t>
    <phoneticPr fontId="10" type="noConversion"/>
  </si>
  <si>
    <t>階梯</t>
    <phoneticPr fontId="10" type="noConversion"/>
  </si>
  <si>
    <t>路緣石</t>
    <phoneticPr fontId="10" type="noConversion"/>
  </si>
  <si>
    <t>0.56*58</t>
    <phoneticPr fontId="10" type="noConversion"/>
  </si>
  <si>
    <t>緣石</t>
    <phoneticPr fontId="10" type="noConversion"/>
  </si>
  <si>
    <t>0.3*16</t>
    <phoneticPr fontId="10" type="noConversion"/>
  </si>
  <si>
    <t>場鑄結構混凝土用模板</t>
    <phoneticPr fontId="10" type="noConversion"/>
  </si>
  <si>
    <t>8.36*2</t>
    <phoneticPr fontId="10" type="noConversion"/>
  </si>
  <si>
    <t>0.82*(156+68+304+55+43)</t>
    <phoneticPr fontId="10" type="noConversion"/>
  </si>
  <si>
    <t>3*16</t>
    <phoneticPr fontId="10" type="noConversion"/>
  </si>
  <si>
    <t>鋼筋，SD280，連工帶料</t>
    <phoneticPr fontId="10" type="noConversion"/>
  </si>
  <si>
    <t>kg</t>
    <phoneticPr fontId="10" type="noConversion"/>
  </si>
  <si>
    <t>Σ =</t>
    <phoneticPr fontId="10" type="noConversion"/>
  </si>
  <si>
    <t>含損耗</t>
    <phoneticPr fontId="10" type="noConversion"/>
  </si>
  <si>
    <r>
      <rPr>
        <sz val="12"/>
        <color indexed="8"/>
        <rFont val="標楷體"/>
        <family val="4"/>
        <charset val="136"/>
      </rPr>
      <t>鋼筋</t>
    </r>
    <r>
      <rPr>
        <sz val="12"/>
        <color indexed="8"/>
        <rFont val="Times New Roman"/>
        <family val="1"/>
      </rPr>
      <t>D10mm</t>
    </r>
    <phoneticPr fontId="10" type="noConversion"/>
  </si>
  <si>
    <t>168.54*2</t>
    <phoneticPr fontId="10" type="noConversion"/>
  </si>
  <si>
    <t>L型座椅</t>
    <phoneticPr fontId="10" type="noConversion"/>
  </si>
  <si>
    <r>
      <rPr>
        <sz val="14"/>
        <color indexed="8"/>
        <rFont val="標楷體"/>
        <family val="4"/>
        <charset val="136"/>
      </rPr>
      <t>損耗</t>
    </r>
    <r>
      <rPr>
        <sz val="14"/>
        <color indexed="8"/>
        <rFont val="Times New Roman"/>
        <family val="1"/>
      </rPr>
      <t>1.06</t>
    </r>
    <r>
      <rPr>
        <sz val="14"/>
        <color indexed="8"/>
        <rFont val="標楷體"/>
        <family val="4"/>
        <charset val="136"/>
      </rPr>
      <t>計</t>
    </r>
    <phoneticPr fontId="10" type="noConversion"/>
  </si>
  <si>
    <r>
      <rPr>
        <sz val="12"/>
        <color indexed="8"/>
        <rFont val="標楷體"/>
        <family val="4"/>
        <charset val="136"/>
      </rPr>
      <t>鋼筋</t>
    </r>
    <r>
      <rPr>
        <sz val="12"/>
        <color indexed="8"/>
        <rFont val="Times New Roman"/>
        <family val="1"/>
      </rPr>
      <t>D13mm</t>
    </r>
    <phoneticPr fontId="10" type="noConversion"/>
  </si>
  <si>
    <t>kg</t>
    <phoneticPr fontId="10" type="noConversion"/>
  </si>
  <si>
    <t>30.03*58</t>
    <phoneticPr fontId="10" type="noConversion"/>
  </si>
  <si>
    <t>平台擋牆</t>
    <phoneticPr fontId="10" type="noConversion"/>
  </si>
  <si>
    <t>斜坡道擋牆</t>
    <phoneticPr fontId="10" type="noConversion"/>
  </si>
  <si>
    <t>4.19*(84+95)</t>
    <phoneticPr fontId="10" type="noConversion"/>
  </si>
  <si>
    <t>緣石</t>
    <phoneticPr fontId="10" type="noConversion"/>
  </si>
  <si>
    <t>58.65*(84+95)</t>
    <phoneticPr fontId="10" type="noConversion"/>
  </si>
  <si>
    <t>固化土鋪面 (t=15cm)</t>
    <phoneticPr fontId="10" type="noConversion"/>
  </si>
  <si>
    <t>m²</t>
    <phoneticPr fontId="10" type="noConversion"/>
  </si>
  <si>
    <r>
      <rPr>
        <sz val="14"/>
        <color indexed="8"/>
        <rFont val="標楷體"/>
        <family val="4"/>
        <charset val="136"/>
      </rPr>
      <t>計</t>
    </r>
    <phoneticPr fontId="10" type="noConversion"/>
  </si>
  <si>
    <t>人行道，清碎石，2分</t>
    <phoneticPr fontId="10" type="noConversion"/>
  </si>
  <si>
    <t>m³</t>
    <phoneticPr fontId="10" type="noConversion"/>
  </si>
  <si>
    <t>2985*0.15</t>
    <phoneticPr fontId="10" type="noConversion"/>
  </si>
  <si>
    <t>生態池區</t>
    <phoneticPr fontId="10" type="noConversion"/>
  </si>
  <si>
    <t>6*3*0.15</t>
    <phoneticPr fontId="10" type="noConversion"/>
  </si>
  <si>
    <t>賞鳥隧道</t>
    <phoneticPr fontId="10" type="noConversion"/>
  </si>
  <si>
    <t>車道鋪面</t>
    <phoneticPr fontId="10" type="noConversion"/>
  </si>
  <si>
    <t>混凝土刷毛鋪面，自然壓印處理</t>
    <phoneticPr fontId="10" type="noConversion"/>
  </si>
  <si>
    <t>式</t>
    <phoneticPr fontId="10" type="noConversion"/>
  </si>
  <si>
    <t>混凝土刷毛鋪面</t>
    <phoneticPr fontId="10" type="noConversion"/>
  </si>
  <si>
    <t>水泥混凝土舖面，車道鋪面</t>
    <phoneticPr fontId="10" type="noConversion"/>
  </si>
  <si>
    <t>376+422</t>
    <phoneticPr fontId="10" type="noConversion"/>
  </si>
  <si>
    <t>植草磚鋪面</t>
    <phoneticPr fontId="10" type="noConversion"/>
  </si>
  <si>
    <t>停車場區</t>
    <phoneticPr fontId="10" type="noConversion"/>
  </si>
  <si>
    <t>瀝青面層刨除，厚5cm</t>
    <phoneticPr fontId="10" type="noConversion"/>
  </si>
  <si>
    <t>，含運費</t>
    <phoneticPr fontId="10" type="noConversion"/>
  </si>
  <si>
    <t>瀝青鋪面(含黏層)，厚5cm</t>
    <phoneticPr fontId="10" type="noConversion"/>
  </si>
  <si>
    <t>堤頂及八號越提路</t>
    <phoneticPr fontId="10" type="noConversion"/>
  </si>
  <si>
    <t>瀝青LOGO彩繪鋪面</t>
    <phoneticPr fontId="10" type="noConversion"/>
  </si>
  <si>
    <t>瀝青意象彩繪鋪面-鳥類</t>
    <phoneticPr fontId="10" type="noConversion"/>
  </si>
  <si>
    <t>組</t>
    <phoneticPr fontId="10" type="noConversion"/>
  </si>
  <si>
    <t>1+1+1+1+1+1+1</t>
    <phoneticPr fontId="10" type="noConversion"/>
  </si>
  <si>
    <t>瀝青意象彩繪鋪面-波紋</t>
    <phoneticPr fontId="10" type="noConversion"/>
  </si>
  <si>
    <t>抿石子</t>
    <phoneticPr fontId="10" type="noConversion"/>
  </si>
  <si>
    <t>造型牆面</t>
    <phoneticPr fontId="10" type="noConversion"/>
  </si>
  <si>
    <t>59.3*0.85</t>
    <phoneticPr fontId="10" type="noConversion"/>
  </si>
  <si>
    <t>既有緣石抿石子-1</t>
    <phoneticPr fontId="10" type="noConversion"/>
  </si>
  <si>
    <t>98.54*1.35</t>
    <phoneticPr fontId="10" type="noConversion"/>
  </si>
  <si>
    <t>既有緣石抿石子-2</t>
    <phoneticPr fontId="10" type="noConversion"/>
  </si>
  <si>
    <t>49.04*0.85</t>
    <phoneticPr fontId="10" type="noConversion"/>
  </si>
  <si>
    <t>既有緣石抿石子-3</t>
    <phoneticPr fontId="10" type="noConversion"/>
  </si>
  <si>
    <t>地坪抿石子</t>
    <phoneticPr fontId="10" type="noConversion"/>
  </si>
  <si>
    <t>8.74*2</t>
    <phoneticPr fontId="10" type="noConversion"/>
  </si>
  <si>
    <t>階梯</t>
    <phoneticPr fontId="10" type="noConversion"/>
  </si>
  <si>
    <t>1.26*58</t>
    <phoneticPr fontId="10" type="noConversion"/>
  </si>
  <si>
    <t>2.85*16</t>
    <phoneticPr fontId="10" type="noConversion"/>
  </si>
  <si>
    <t>1.25*16</t>
    <phoneticPr fontId="10" type="noConversion"/>
  </si>
  <si>
    <t>標線，反光，厚2mm</t>
    <phoneticPr fontId="10" type="noConversion"/>
  </si>
  <si>
    <t>(32.8+(20.4*6))*0.15</t>
    <phoneticPr fontId="10" type="noConversion"/>
  </si>
  <si>
    <t>大客車</t>
    <phoneticPr fontId="10" type="noConversion"/>
  </si>
  <si>
    <t>((17.6*2)+(9*2)+(11.6*58))*0.15</t>
    <phoneticPr fontId="10" type="noConversion"/>
  </si>
  <si>
    <t>小客車</t>
    <phoneticPr fontId="10" type="noConversion"/>
  </si>
  <si>
    <t>((6*3)+(4*27))*0.15</t>
    <phoneticPr fontId="10" type="noConversion"/>
  </si>
  <si>
    <t>機車</t>
    <phoneticPr fontId="10" type="noConversion"/>
  </si>
  <si>
    <t>6+6.46+(0.146*2)</t>
    <phoneticPr fontId="10" type="noConversion"/>
  </si>
  <si>
    <t>標誌線</t>
    <phoneticPr fontId="10" type="noConversion"/>
  </si>
  <si>
    <t>計</t>
    <phoneticPr fontId="10" type="noConversion"/>
  </si>
  <si>
    <t>無障礙標準型標誌</t>
    <phoneticPr fontId="10" type="noConversion"/>
  </si>
  <si>
    <t>支</t>
    <phoneticPr fontId="10" type="noConversion"/>
  </si>
  <si>
    <t>1+1</t>
    <phoneticPr fontId="10" type="noConversion"/>
  </si>
  <si>
    <t>仿木階梯</t>
    <phoneticPr fontId="10" type="noConversion"/>
  </si>
  <si>
    <t>座</t>
    <phoneticPr fontId="10" type="noConversion"/>
  </si>
  <si>
    <t>1+1+1</t>
    <phoneticPr fontId="10" type="noConversion"/>
  </si>
  <si>
    <t xml:space="preserve">2000mmRCP,B-3型管
(賞鳥隧道)
</t>
    <phoneticPr fontId="10" type="noConversion"/>
  </si>
  <si>
    <t>2+2+2</t>
    <phoneticPr fontId="10" type="noConversion"/>
  </si>
  <si>
    <t>一處兩支RCP管</t>
    <phoneticPr fontId="10" type="noConversion"/>
  </si>
  <si>
    <t>300mmRCP,B-3型管</t>
    <phoneticPr fontId="10" type="noConversion"/>
  </si>
  <si>
    <t>粗木作，入口意象(枕木)</t>
    <phoneticPr fontId="10" type="noConversion"/>
  </si>
  <si>
    <t>鋁管，入口意象(造型塔巢)</t>
    <phoneticPr fontId="10" type="noConversion"/>
  </si>
  <si>
    <t>鋁板，入口意象(LOGO及字體)</t>
    <phoneticPr fontId="10" type="noConversion"/>
  </si>
  <si>
    <t>鋁板，入口意象
(東方白鸛造型板)</t>
    <phoneticPr fontId="10" type="noConversion"/>
  </si>
  <si>
    <t>塊</t>
    <phoneticPr fontId="10" type="noConversion"/>
  </si>
  <si>
    <t>導覽牌A(H=2.1M)</t>
    <phoneticPr fontId="10" type="noConversion"/>
  </si>
  <si>
    <t>八號越堤及停車場</t>
    <phoneticPr fontId="10" type="noConversion"/>
  </si>
  <si>
    <t>導覽牌B(H=0.9M)</t>
    <phoneticPr fontId="10" type="noConversion"/>
  </si>
  <si>
    <t>金屬製品，指示牌</t>
    <phoneticPr fontId="10" type="noConversion"/>
  </si>
  <si>
    <t>混凝土護欄，仿木車阻</t>
    <phoneticPr fontId="10" type="noConversion"/>
  </si>
  <si>
    <t>8+10</t>
    <phoneticPr fontId="10" type="noConversion"/>
  </si>
  <si>
    <t>八號越堤路</t>
    <phoneticPr fontId="10" type="noConversion"/>
  </si>
  <si>
    <t>停車場區</t>
  </si>
  <si>
    <t>不鏽鋼車阻</t>
    <phoneticPr fontId="10" type="noConversion"/>
  </si>
  <si>
    <t>欄杆</t>
    <phoneticPr fontId="10" type="noConversion"/>
  </si>
  <si>
    <t>m</t>
    <phoneticPr fontId="10" type="noConversion"/>
  </si>
  <si>
    <t>49.8+14.58+16.22+2</t>
    <phoneticPr fontId="10" type="noConversion"/>
  </si>
  <si>
    <t>5+5+5</t>
    <phoneticPr fontId="10" type="noConversion"/>
  </si>
  <si>
    <t>堤前緩坡</t>
    <phoneticPr fontId="10" type="noConversion"/>
  </si>
  <si>
    <t>立體雕塑A</t>
    <phoneticPr fontId="10" type="noConversion"/>
  </si>
  <si>
    <t>立體雕塑B</t>
    <phoneticPr fontId="10" type="noConversion"/>
  </si>
  <si>
    <t>噴植草，坡面噴植</t>
    <phoneticPr fontId="10" type="noConversion"/>
  </si>
  <si>
    <t>堤前緩坡-1</t>
    <phoneticPr fontId="10" type="noConversion"/>
  </si>
  <si>
    <t>堤前緩坡-2</t>
    <phoneticPr fontId="10" type="noConversion"/>
  </si>
  <si>
    <t>噴植草，噴植</t>
    <phoneticPr fontId="10" type="noConversion"/>
  </si>
  <si>
    <t>停車場區-4</t>
    <phoneticPr fontId="10" type="noConversion"/>
  </si>
  <si>
    <t>不織布</t>
    <phoneticPr fontId="10" type="noConversion"/>
  </si>
  <si>
    <t>客土</t>
    <phoneticPr fontId="10" type="noConversion"/>
  </si>
  <si>
    <t>(13.51*94.25*0.1)+(706.86*0.1)</t>
    <phoneticPr fontId="10" type="noConversion"/>
  </si>
  <si>
    <t>生態護坡，客土袋</t>
    <phoneticPr fontId="10" type="noConversion"/>
  </si>
  <si>
    <t>包</t>
    <phoneticPr fontId="10" type="noConversion"/>
  </si>
  <si>
    <t>橫向草溝(一)-1</t>
    <phoneticPr fontId="10" type="noConversion"/>
  </si>
  <si>
    <t>(269/0.35)*5</t>
    <phoneticPr fontId="10" type="noConversion"/>
  </si>
  <si>
    <t>(272/0.35)*10</t>
    <phoneticPr fontId="10" type="noConversion"/>
  </si>
  <si>
    <t>((59+59)/0.35)*5</t>
    <phoneticPr fontId="10" type="noConversion"/>
  </si>
  <si>
    <t>縱向草溝</t>
    <phoneticPr fontId="10" type="noConversion"/>
  </si>
  <si>
    <t>156/0.35*5</t>
    <phoneticPr fontId="10" type="noConversion"/>
  </si>
  <si>
    <t>停車場草溝</t>
    <phoneticPr fontId="10" type="noConversion"/>
  </si>
  <si>
    <t xml:space="preserve">水黃皮，240≤樹高&lt;270cm,90≤樹幅&lt;100cm,5≤米高直徑&lt;6cm </t>
    <phoneticPr fontId="10" type="noConversion"/>
  </si>
  <si>
    <t>株</t>
    <phoneticPr fontId="10" type="noConversion"/>
  </si>
  <si>
    <t>13+2</t>
    <phoneticPr fontId="10" type="noConversion"/>
  </si>
  <si>
    <t xml:space="preserve">黃槿，240≤樹高&lt;270cm,90≤樹幅&lt;100cm,5≤米高直徑&lt;6cm </t>
    <phoneticPr fontId="10" type="noConversion"/>
  </si>
  <si>
    <t>(18+8+8+8)*16</t>
    <phoneticPr fontId="10" type="noConversion"/>
  </si>
  <si>
    <t>草海桐，25≦ 高度＜30㎝，15≦寬度＜20cm，7cm≦容器直徑＜10cm</t>
    <phoneticPr fontId="10" type="noConversion"/>
  </si>
  <si>
    <t>156*9</t>
    <phoneticPr fontId="10" type="noConversion"/>
  </si>
  <si>
    <t>馬鞍藤，高度＜20㎝，寬度＜10cm，容器直徑＜10cm</t>
    <phoneticPr fontId="10" type="noConversion"/>
  </si>
  <si>
    <t>(5+5+5)*16</t>
    <phoneticPr fontId="10" type="noConversion"/>
  </si>
  <si>
    <t>(9+9+9+167)*16</t>
    <phoneticPr fontId="10" type="noConversion"/>
  </si>
  <si>
    <t xml:space="preserve">計算式 </t>
    <phoneticPr fontId="10" type="noConversion"/>
  </si>
  <si>
    <t>依第四河川局111年02月18日水四工字第11101011190號辦理</t>
    <phoneticPr fontId="13" type="noConversion"/>
  </si>
  <si>
    <t>一、緣由</t>
  </si>
  <si>
    <t>(一)</t>
    <phoneticPr fontId="13" type="noConversion"/>
  </si>
  <si>
    <t>多功能停車場地盤改良範圍包含景觀平台、停車場及車道，並同意依設計單位重新檢討修正其地盤改良面積及單價。</t>
  </si>
  <si>
    <t>(二)</t>
    <phoneticPr fontId="13" type="noConversion"/>
  </si>
  <si>
    <t>(三)</t>
    <phoneticPr fontId="13" type="noConversion"/>
  </si>
  <si>
    <t>同意依設計單位建議增加切割縫處理費用；另考量完成後側邊線形，同意增加模板側模。</t>
  </si>
  <si>
    <t>(四)</t>
    <phoneticPr fontId="13" type="noConversion"/>
  </si>
  <si>
    <t>二、修正施工(變更設計)內容明細表：</t>
    <phoneticPr fontId="13" type="noConversion"/>
  </si>
  <si>
    <t>生態島外圍土堤斜坡是否需噴植，俟召開生態措施審查會議，洽詢專家學者意見後，再依決議辦理。</t>
  </si>
  <si>
    <t>(五)</t>
    <phoneticPr fontId="13" type="noConversion"/>
  </si>
  <si>
    <t>(六)</t>
    <phoneticPr fontId="13" type="noConversion"/>
  </si>
  <si>
    <t>(七)</t>
    <phoneticPr fontId="13" type="noConversion"/>
  </si>
  <si>
    <t>(八)</t>
    <phoneticPr fontId="13" type="noConversion"/>
  </si>
  <si>
    <t>(九)</t>
    <phoneticPr fontId="13" type="noConversion"/>
  </si>
  <si>
    <t>工程試驗項目數量有多列及不足部分，同意依實一併納入修正施工辦理調整修正。</t>
  </si>
  <si>
    <t>同意修正堤首及堤尾收邊形式，及更正橫向草溝長度。</t>
  </si>
  <si>
    <t>同意揚塵測站電力管線埋設費用納入變更設計辦理。</t>
  </si>
  <si>
    <t>項次</t>
  </si>
  <si>
    <t>一</t>
  </si>
  <si>
    <t>二</t>
  </si>
  <si>
    <t>六</t>
  </si>
  <si>
    <t>七</t>
  </si>
  <si>
    <t>八</t>
  </si>
  <si>
    <t>合計</t>
  </si>
  <si>
    <t>同意停車格增設緣石車阻，AC鋪面及植草磚界面則增設界石，標線更改為高壓混凝土磚整格排列。</t>
  </si>
  <si>
    <t>同意增加40m半阻隔式圍籬費用，並減少40m全阻隔式圍籬。</t>
  </si>
  <si>
    <t>同意依設計單位建議新埋設RCP管四處。</t>
  </si>
  <si>
    <t>政府採購法第22條第1項第6款規定所稱必須追加契約以外之工程規定辦理。</t>
  </si>
  <si>
    <t>(一)0K+260堤尾處</t>
  </si>
  <si>
    <t>(二)0K+593堤首處</t>
  </si>
  <si>
    <t>第一次修正施工（變更設計）預算說明書【1/4】</t>
    <phoneticPr fontId="13" type="noConversion"/>
  </si>
  <si>
    <t>第一次修正施工（變更設計）預算說明書【3/4】</t>
    <phoneticPr fontId="13" type="noConversion"/>
  </si>
  <si>
    <t>依第四河川局111年03月22日水四工字第11101026450號辦理</t>
    <phoneticPr fontId="13" type="noConversion"/>
  </si>
  <si>
    <t>第一次修正施工（變更設計）預算說明書【4/4】</t>
    <phoneticPr fontId="13" type="noConversion"/>
  </si>
  <si>
    <t>第一次修正施工（變更設計）預算說明書【2/4】</t>
    <phoneticPr fontId="13" type="noConversion"/>
  </si>
  <si>
    <t>依第四河川局111年03月2日水四工字第11101016160號辦理</t>
    <phoneticPr fontId="13" type="noConversion"/>
  </si>
  <si>
    <t>同意保留既有木麻黃並依現況調整原設計數量、退縮草溝位置及車道擋牆長度減做。</t>
  </si>
  <si>
    <t>同意設計單位建議無須進行地盤改良，另增加級配層厚度，提高承載力。</t>
  </si>
  <si>
    <t>項次：</t>
  </si>
  <si>
    <t>工料名稱</t>
  </si>
  <si>
    <t>數量</t>
  </si>
  <si>
    <t>複價</t>
  </si>
  <si>
    <t>編碼(備註)</t>
  </si>
  <si>
    <t>其他技術工</t>
  </si>
  <si>
    <t>工</t>
  </si>
  <si>
    <t>零星工料</t>
  </si>
  <si>
    <t>土方工作，底層底土夯實整平</t>
  </si>
  <si>
    <t>第一次施工修正(變更設計)新增單價分析表</t>
    <phoneticPr fontId="5" type="noConversion"/>
  </si>
  <si>
    <t>64</t>
  </si>
  <si>
    <t>65</t>
  </si>
  <si>
    <t>66</t>
  </si>
  <si>
    <t>67</t>
  </si>
  <si>
    <t>68</t>
  </si>
  <si>
    <t>69</t>
  </si>
  <si>
    <t>70</t>
  </si>
  <si>
    <t>71</t>
  </si>
  <si>
    <t>高壓混凝土磚(10*20*8cm)</t>
  </si>
  <si>
    <t>產品，高壓混凝土磚(10*20*8cm)</t>
  </si>
  <si>
    <t>1:3水泥砂漿</t>
  </si>
  <si>
    <t>原契約單價</t>
  </si>
  <si>
    <t>單位：M</t>
    <phoneticPr fontId="5" type="noConversion"/>
  </si>
  <si>
    <t>工作項目：固化土切割縫</t>
    <phoneticPr fontId="5" type="noConversion"/>
  </si>
  <si>
    <t>切割縫</t>
  </si>
  <si>
    <t>半阻隔式圍籬(租用)</t>
  </si>
  <si>
    <t>工作項目:半阻隔式圍籬</t>
    <phoneticPr fontId="5" type="noConversion"/>
  </si>
  <si>
    <t>新增單價</t>
    <phoneticPr fontId="5" type="noConversion"/>
  </si>
  <si>
    <t>工作項目：揚塵測站電力桿遷移及管線埋設</t>
    <phoneticPr fontId="5" type="noConversion"/>
  </si>
  <si>
    <t>單位：式</t>
    <phoneticPr fontId="5" type="noConversion"/>
  </si>
  <si>
    <t>每 M 單價計</t>
    <phoneticPr fontId="5" type="noConversion"/>
  </si>
  <si>
    <t>每 式 單價計</t>
    <phoneticPr fontId="5" type="noConversion"/>
  </si>
  <si>
    <t>水泥電桿7.5m</t>
  </si>
  <si>
    <t>表箱遷移</t>
  </si>
  <si>
    <t>文書作業及送件代驗</t>
  </si>
  <si>
    <t>PVC管 28mm*3.0mm</t>
  </si>
  <si>
    <t>PVC電纜 600V 14平方*LPE</t>
  </si>
  <si>
    <t>水泥鑽洞</t>
  </si>
  <si>
    <t>孔</t>
  </si>
  <si>
    <t>管路鋪設</t>
  </si>
  <si>
    <t>拉線與連接測試</t>
  </si>
  <si>
    <t>壹.三.17</t>
    <phoneticPr fontId="5" type="noConversion"/>
  </si>
  <si>
    <t>單位：支</t>
    <phoneticPr fontId="5" type="noConversion"/>
  </si>
  <si>
    <t>每 支 單價計</t>
    <phoneticPr fontId="5" type="noConversion"/>
  </si>
  <si>
    <t>600mmRCP,B-3型管</t>
  </si>
  <si>
    <t>吊卡車</t>
  </si>
  <si>
    <t>趟</t>
  </si>
  <si>
    <t>工具損耗</t>
  </si>
  <si>
    <t>混凝土附屬品，600mmRCP,B-3型管</t>
  </si>
  <si>
    <t>親子停車位標準型標誌</t>
  </si>
  <si>
    <t>標誌牌(禁)</t>
  </si>
  <si>
    <t>72</t>
  </si>
  <si>
    <t>73</t>
  </si>
  <si>
    <t>74</t>
  </si>
  <si>
    <t>75</t>
  </si>
  <si>
    <t>抿石子(藍色系) B牆</t>
  </si>
  <si>
    <t>造型牆面B(陶板)</t>
  </si>
  <si>
    <t>瀝青意象彩繪鋪面-麥穗</t>
  </si>
  <si>
    <t>瀝青彩繪鋪面</t>
  </si>
  <si>
    <t>無障礙欄杆</t>
  </si>
  <si>
    <t>里程牌</t>
  </si>
  <si>
    <t>棧板(1100*1100*140mm)</t>
  </si>
  <si>
    <t>76</t>
  </si>
  <si>
    <t>濱水菜，高度(枝長)&lt; 10㎝，寬度＜10cm，容器直徑＜7cm盆苗</t>
  </si>
  <si>
    <t>單位：組</t>
    <phoneticPr fontId="5" type="noConversion"/>
  </si>
  <si>
    <t>每 組單價計</t>
    <phoneticPr fontId="5" type="noConversion"/>
  </si>
  <si>
    <t>工作項目：親子停車位標準型標誌</t>
    <phoneticPr fontId="5" type="noConversion"/>
  </si>
  <si>
    <t>工作項目：標誌牌(禁)</t>
    <phoneticPr fontId="5" type="noConversion"/>
  </si>
  <si>
    <t>工作項目：停車場入口指示牌</t>
    <phoneticPr fontId="5" type="noConversion"/>
  </si>
  <si>
    <t>停車場入口指示牌</t>
    <phoneticPr fontId="5" type="noConversion"/>
  </si>
  <si>
    <t>組</t>
    <phoneticPr fontId="5" type="noConversion"/>
  </si>
  <si>
    <t>單位：M2</t>
    <phoneticPr fontId="5" type="noConversion"/>
  </si>
  <si>
    <t>每 M2 單價計</t>
    <phoneticPr fontId="5" type="noConversion"/>
  </si>
  <si>
    <t>工作項目：抿石子(藍色系) A牆</t>
    <phoneticPr fontId="5" type="noConversion"/>
  </si>
  <si>
    <t>產品，抿石，1-1.5分天然石</t>
  </si>
  <si>
    <t>kg</t>
  </si>
  <si>
    <t>產品，抿石，琉璃石</t>
  </si>
  <si>
    <t>產品，石粉</t>
  </si>
  <si>
    <t>m2</t>
  </si>
  <si>
    <t>水泥砂漿，1:3</t>
  </si>
  <si>
    <t>m3</t>
  </si>
  <si>
    <t>工作項目：抿石子(藍色系) B牆</t>
    <phoneticPr fontId="5" type="noConversion"/>
  </si>
  <si>
    <t>工作項目：造型牆面B(陶板)</t>
    <phoneticPr fontId="5" type="noConversion"/>
  </si>
  <si>
    <t>壹.二.18</t>
    <phoneticPr fontId="5" type="noConversion"/>
  </si>
  <si>
    <t>施工測量，測量放樣</t>
  </si>
  <si>
    <t xml:space="preserve">浮雕陶板材料 </t>
  </si>
  <si>
    <t>陶板塑型製作</t>
  </si>
  <si>
    <t>陶板美工及釉彩費</t>
  </si>
  <si>
    <t>陶板雕窯燒費</t>
  </si>
  <si>
    <t>陶板黏劑及各物件固定</t>
  </si>
  <si>
    <t>運費(含材料工地小搬運)</t>
  </si>
  <si>
    <t>零星工料及工具損耗</t>
  </si>
  <si>
    <t>每 組 單價計</t>
    <phoneticPr fontId="5" type="noConversion"/>
  </si>
  <si>
    <t>瀝青表面處理，單層，第一層底層塗料</t>
  </si>
  <si>
    <t>瀝青表面處理，雙層，第二層加強層塗料</t>
  </si>
  <si>
    <t>瀝青表面處理，三層，第三層保護層塗料</t>
  </si>
  <si>
    <t>產品，瀝青混凝土舖面，色料</t>
  </si>
  <si>
    <t>瀝青表面處理，造型模板，麥穗</t>
  </si>
  <si>
    <t>資料送審，編製及審查</t>
  </si>
  <si>
    <t>工作項目：瀝青意象彩繪鋪面-麥穗</t>
    <phoneticPr fontId="5" type="noConversion"/>
  </si>
  <si>
    <t>瀝青表面處理，造型壓紋製作</t>
  </si>
  <si>
    <t>工作項目：瀝青彩繪鋪面</t>
    <phoneticPr fontId="5" type="noConversion"/>
  </si>
  <si>
    <t>產品，抿石子，分隔壓條
，黏著劑及防護劑等其他用料</t>
    <phoneticPr fontId="5" type="noConversion"/>
  </si>
  <si>
    <t>產品，抿石子，分隔壓條
，黏著劑及防護劑等其他用料</t>
    <phoneticPr fontId="5" type="noConversion"/>
  </si>
  <si>
    <t>瀝青表面處理，單層，第一層底層塗料</t>
    <phoneticPr fontId="5" type="noConversion"/>
  </si>
  <si>
    <t>瀝青表面處理，雙層，第二層加強層塗料</t>
    <phoneticPr fontId="5" type="noConversion"/>
  </si>
  <si>
    <t>瀝青表面處理，三層，第三層保護層塗料</t>
    <phoneticPr fontId="5" type="noConversion"/>
  </si>
  <si>
    <t>工作項目：無障礙欄杆</t>
    <phoneticPr fontId="5" type="noConversion"/>
  </si>
  <si>
    <t>鋁合金管上下橫桿-滾圓</t>
  </si>
  <si>
    <t>產品，鋁管，加工及安裝</t>
  </si>
  <si>
    <t>氟碳烤漆</t>
  </si>
  <si>
    <t>五金配件</t>
  </si>
  <si>
    <t>鋁管，鋁合金管上下橫桿50x50mm
，T=1.8mm</t>
    <phoneticPr fontId="5" type="noConversion"/>
  </si>
  <si>
    <t>鋁管，製作，鋁合金管立桿 20x30mm，T=1.5mm</t>
    <phoneticPr fontId="5" type="noConversion"/>
  </si>
  <si>
    <t>鋁管，直徑=2cm，鋁合金管立柱75x75mm，T=2mm</t>
    <phoneticPr fontId="5" type="noConversion"/>
  </si>
  <si>
    <t>壹.一.43</t>
    <phoneticPr fontId="5" type="noConversion"/>
  </si>
  <si>
    <t>塔巢含不銹鋼平台(1.2*1.2m)</t>
    <phoneticPr fontId="5" type="noConversion"/>
  </si>
  <si>
    <t>工作項目：塔巢含不銹鋼平台(1.2*1.2m)</t>
    <phoneticPr fontId="5" type="noConversion"/>
  </si>
  <si>
    <t>五金及配件</t>
  </si>
  <si>
    <t>混凝土附屬品，水泥桿</t>
  </si>
  <si>
    <t>混凝土附屬品，水泥桿9M(含運)</t>
  </si>
  <si>
    <t>結構用混凝土，預拌，140kgf/cm2</t>
  </si>
  <si>
    <t>鋼筋，SD280W，含彎紮阻立及損耗</t>
  </si>
  <si>
    <t>鋼筋，SD420W，含彎紮阻立及損耗</t>
  </si>
  <si>
    <t>不鏽鋼基礎板T=3mm</t>
  </si>
  <si>
    <t>不鏽鋼骨架80*40mm，T=1.5mm</t>
  </si>
  <si>
    <t>不鏽鋼管50*25mm，T=1.2mm</t>
  </si>
  <si>
    <t>點焊鋼線網1200*1200mm</t>
  </si>
  <si>
    <t>廠內裁剪加工成型技工</t>
  </si>
  <si>
    <t>臨時擋土樁設施</t>
  </si>
  <si>
    <t>單位：株</t>
    <phoneticPr fontId="5" type="noConversion"/>
  </si>
  <si>
    <t>每 株 單價計</t>
    <phoneticPr fontId="5" type="noConversion"/>
  </si>
  <si>
    <t>植栽，客土，砂質壤土</t>
  </si>
  <si>
    <t>產品，植栽，支柱</t>
  </si>
  <si>
    <t>園藝技術工，植栽工</t>
  </si>
  <si>
    <t>植物保護，養護工作</t>
  </si>
  <si>
    <t>產品，喬木，楝樹，300 ≦ 樹高 &lt; 350㎝，120≦樹幅＜140cm，9 ≦ 米高直徑 &lt; 10㎝</t>
    <phoneticPr fontId="5" type="noConversion"/>
  </si>
  <si>
    <t>工作項目：里程牌</t>
    <phoneticPr fontId="5" type="noConversion"/>
  </si>
  <si>
    <t>鋁合金前後板400mm*242mm，T=3mm</t>
  </si>
  <si>
    <t>鋁合金前後板400mm*242mm，T=3mm雷射切割</t>
  </si>
  <si>
    <t>抗UV彩色輸出-里程牌</t>
  </si>
  <si>
    <t>氟碳烤漆-里程牌</t>
  </si>
  <si>
    <t>工作項目：棧板(1100*1100*140mm)</t>
    <phoneticPr fontId="5" type="noConversion"/>
  </si>
  <si>
    <t>產品，棧板(1100*1100*140mm)</t>
  </si>
  <si>
    <t>工作項目：喬木，楝樹，300 ≦ 樹高 &lt; 350㎝，120≦樹幅＜140cm，9 ≦ 米高直徑 &lt; 10㎝</t>
    <phoneticPr fontId="5" type="noConversion"/>
  </si>
  <si>
    <t>工作項目：喬木，朴樹，240 ≦ 樹高 &lt; 270㎝，90≦樹幅＜100cm，5 ≦ 米高直徑 &lt; 6㎝</t>
    <phoneticPr fontId="5" type="noConversion"/>
  </si>
  <si>
    <t>產品，喬木，朴樹，240 ≦ 樹高 &lt; 270㎝，90≦樹幅＜100cm，5 ≦ 米高直徑 &lt; 6㎝</t>
  </si>
  <si>
    <t>工作項目：宜梧，25≦ 高度＜30㎝，15≦寬度＜20cm，7cm≦容器直徑＜10cm</t>
    <phoneticPr fontId="5" type="noConversion"/>
  </si>
  <si>
    <t>產品，宜梧，25≦ 高度＜30㎝，15≦寬度＜20cm，7cm≦容器直徑＜10cm</t>
  </si>
  <si>
    <t>工作項目：濱水菜，高度(枝長)&lt; 10㎝，寬度＜10cm，容器直徑＜7cm盆苗</t>
    <phoneticPr fontId="5" type="noConversion"/>
  </si>
  <si>
    <t>產品，濱水菜，高度(枝長)&lt; 10㎝，寬度＜10cm，容器直徑＜7cm盆苗</t>
  </si>
  <si>
    <t>工作項目：台灣萍蓬草，高度(枝長)&lt; 10㎝，寬度＜10cm，容器直徑＜7cm盆苗</t>
    <phoneticPr fontId="5" type="noConversion"/>
  </si>
  <si>
    <t>產品，台灣萍蓬草，高度(枝長)&lt; 10㎝，寬度＜10cm，容器直徑＜7cm盆苗</t>
  </si>
  <si>
    <t>堤頂人行步道(高壓磚)，含拆除及載運</t>
  </si>
  <si>
    <t>壹.二.19</t>
    <phoneticPr fontId="5" type="noConversion"/>
  </si>
  <si>
    <t>工作項目：堤頂人行步道(高壓磚)，含拆除回收、載運等</t>
    <phoneticPr fontId="5" type="noConversion"/>
  </si>
  <si>
    <t>工作項目：石材，長徑D=50~120cm，表面不得破損、銳角，含擺設及表面清潔</t>
    <phoneticPr fontId="5" type="noConversion"/>
  </si>
  <si>
    <t>開挖機，履帶式，0.70~0.79m3</t>
  </si>
  <si>
    <t>傾卸貨車</t>
  </si>
  <si>
    <t>高壓混凝土磚抗壓試驗</t>
  </si>
  <si>
    <t>瀝青篩分析試驗</t>
  </si>
  <si>
    <t>瀝青平坦度試驗</t>
  </si>
  <si>
    <t>熱浸鍍鋅檢驗試驗</t>
  </si>
  <si>
    <t>壹.五.1.v</t>
    <phoneticPr fontId="5" type="noConversion"/>
  </si>
  <si>
    <t>單位：次</t>
    <phoneticPr fontId="5" type="noConversion"/>
  </si>
  <si>
    <t>每 次 單價計</t>
    <phoneticPr fontId="5" type="noConversion"/>
  </si>
  <si>
    <t>工作項目:高壓混凝土磚抗壓試驗</t>
    <phoneticPr fontId="5" type="noConversion"/>
  </si>
  <si>
    <t>雜費</t>
  </si>
  <si>
    <t>壹.五.1.w</t>
    <phoneticPr fontId="5" type="noConversion"/>
  </si>
  <si>
    <t>壹.五.1.x</t>
    <phoneticPr fontId="5" type="noConversion"/>
  </si>
  <si>
    <t>壹.五.1.y</t>
    <phoneticPr fontId="5" type="noConversion"/>
  </si>
  <si>
    <t>工作項目:瀝青篩分析試驗</t>
    <phoneticPr fontId="5" type="noConversion"/>
  </si>
  <si>
    <t>工作項目:瀝青平坦度試驗</t>
    <phoneticPr fontId="5" type="noConversion"/>
  </si>
  <si>
    <t>工作項目:熱浸鍍鋅檢驗試驗</t>
    <phoneticPr fontId="5" type="noConversion"/>
  </si>
  <si>
    <t>壹.一.12</t>
    <phoneticPr fontId="5" type="noConversion"/>
  </si>
  <si>
    <t>工作項目：人行道面層，混凝土舖面，刷毛(t=15cm)</t>
    <phoneticPr fontId="5" type="noConversion"/>
  </si>
  <si>
    <t>產品，瀝青混凝土舖面</t>
  </si>
  <si>
    <t>產品，級配粒料底層，碎石級配</t>
  </si>
  <si>
    <t>搬運車</t>
  </si>
  <si>
    <t>膠輪壓路機</t>
  </si>
  <si>
    <t>瀝青混凝土鋪裝機</t>
  </si>
  <si>
    <t>產品，瀝青透層</t>
  </si>
  <si>
    <t>銲接鋼線網，D=13.00mm，20x20cm</t>
  </si>
  <si>
    <t>混凝土表面處理，刷毛</t>
  </si>
  <si>
    <t>模板技術工</t>
  </si>
  <si>
    <t>時</t>
  </si>
  <si>
    <t>壹.一.14</t>
    <phoneticPr fontId="5" type="noConversion"/>
  </si>
  <si>
    <t>工作項目：水泥混凝土舖面，車道鋪面</t>
    <phoneticPr fontId="5" type="noConversion"/>
  </si>
  <si>
    <t>銲接鋼線網，D=16.00mm，20x20cm</t>
  </si>
  <si>
    <t>壹.一.15</t>
    <phoneticPr fontId="5" type="noConversion"/>
  </si>
  <si>
    <t>工作項目：植草磚鋪面</t>
    <phoneticPr fontId="5" type="noConversion"/>
  </si>
  <si>
    <t>產品，透水性舖面，停車場、廣場等路面
，塊狀及鏤空狀，植草磚，10≦面層厚＜15cm</t>
    <phoneticPr fontId="5" type="noConversion"/>
  </si>
  <si>
    <t>工作項目：瀝青鋪面(含透層)，厚5cm，含碎石級配</t>
    <phoneticPr fontId="5" type="noConversion"/>
  </si>
  <si>
    <t>推土機</t>
  </si>
  <si>
    <t>灑水車</t>
  </si>
  <si>
    <t>壹.一.44</t>
    <phoneticPr fontId="5" type="noConversion"/>
  </si>
  <si>
    <t>紙漿材料(紙漿、樹脂、溢膠泥)</t>
  </si>
  <si>
    <t>解說牌不銹鋼板及噴印</t>
  </si>
  <si>
    <t>耐候彩繪漆料及保護漆</t>
  </si>
  <si>
    <t>圖面整理現場構圖及放樣</t>
  </si>
  <si>
    <t>資料送審，編製與審查，簽認費，照片與插畫版權費用</t>
    <phoneticPr fontId="5" type="noConversion"/>
  </si>
  <si>
    <t>運費及五金配件</t>
  </si>
  <si>
    <t>泥水-面材鋪貼技術工，現場紙漿雕塑塑形及彩繪</t>
    <phoneticPr fontId="5" type="noConversion"/>
  </si>
  <si>
    <t>施工機具搬運費</t>
  </si>
  <si>
    <t>零星工料</t>
    <phoneticPr fontId="5" type="noConversion"/>
  </si>
  <si>
    <t>壹.一.31</t>
    <phoneticPr fontId="5" type="noConversion"/>
  </si>
  <si>
    <t>工作項目：鋁板，入口意象(LOGO及字體)</t>
    <phoneticPr fontId="5" type="noConversion"/>
  </si>
  <si>
    <t>單位：座</t>
    <phoneticPr fontId="5" type="noConversion"/>
  </si>
  <si>
    <t>每 座 單價計</t>
    <phoneticPr fontId="5" type="noConversion"/>
  </si>
  <si>
    <t>鋁合金板T=5mm</t>
  </si>
  <si>
    <t>鋁合金管T=2mm</t>
  </si>
  <si>
    <t>金屬製品，加工及安裝，雷射切割</t>
  </si>
  <si>
    <t>產品，金屬材料，普通，鋁合金管50*30mm，T=1.5mm</t>
    <phoneticPr fontId="5" type="noConversion"/>
  </si>
  <si>
    <t>產品，金屬材料，普通，文字鋁合金板
及LOGO鋁合金底板T=8mm</t>
    <phoneticPr fontId="5" type="noConversion"/>
  </si>
  <si>
    <t>產品，鋁板，製作，LOGO文字鋁合金板
及造型板T=3mm</t>
    <phoneticPr fontId="5" type="noConversion"/>
  </si>
  <si>
    <t>鋁合金壓鑄件，氟碳烤漆</t>
  </si>
  <si>
    <t>才</t>
  </si>
  <si>
    <t>契約工程試驗項目數量多列及不足等需辦理調整，同意依實一併納入修正施工辦理調整修正。</t>
    <phoneticPr fontId="5" type="noConversion"/>
  </si>
  <si>
    <t>停車場AC鋪面及植草磚界面增設界石，標線更改為高壓混凝土磚整格排列，影響瀝青
鋪面及植草磚鋪面數量，同意依實一併納入修正施工辦理調整修正。</t>
    <phoneticPr fontId="5" type="noConversion"/>
  </si>
  <si>
    <t>同意增設生態通道1處並將既有3處RCP管刪除。</t>
  </si>
  <si>
    <r>
      <t>同意</t>
    </r>
    <r>
      <rPr>
        <sz val="14"/>
        <rFont val="Times New Roman"/>
        <family val="1"/>
      </rPr>
      <t>6</t>
    </r>
    <r>
      <rPr>
        <sz val="14"/>
        <rFont val="標楷體"/>
        <family val="4"/>
        <charset val="136"/>
      </rPr>
      <t>號及</t>
    </r>
    <r>
      <rPr>
        <sz val="14"/>
        <rFont val="Times New Roman"/>
        <family val="1"/>
      </rPr>
      <t>8</t>
    </r>
    <r>
      <rPr>
        <sz val="14"/>
        <rFont val="標楷體"/>
        <family val="4"/>
        <charset val="136"/>
      </rPr>
      <t>號越堤路瀝青彩繪鋪面調整。</t>
    </r>
  </si>
  <si>
    <r>
      <rPr>
        <sz val="14"/>
        <rFont val="標楷體"/>
        <family val="4"/>
        <charset val="136"/>
      </rPr>
      <t>同意修正造型牆面</t>
    </r>
    <r>
      <rPr>
        <sz val="14"/>
        <rFont val="Times New Roman"/>
        <family val="1"/>
      </rPr>
      <t>A</t>
    </r>
    <r>
      <rPr>
        <sz val="14"/>
        <rFont val="標楷體"/>
        <family val="4"/>
        <charset val="136"/>
      </rPr>
      <t>、</t>
    </r>
    <r>
      <rPr>
        <sz val="14"/>
        <rFont val="Times New Roman"/>
        <family val="1"/>
      </rPr>
      <t>B</t>
    </r>
    <r>
      <rPr>
        <sz val="14"/>
        <rFont val="標楷體"/>
        <family val="4"/>
        <charset val="136"/>
      </rPr>
      <t>形式，既有步道及緣石、涼亭地面增加抿石子。</t>
    </r>
    <phoneticPr fontId="5" type="noConversion"/>
  </si>
  <si>
    <t>同意增設6號越堤路轉角至緩坡堤尾間欄杆及觀景平台斜坡道無障礙欄杆。</t>
    <phoneticPr fontId="5" type="noConversion"/>
  </si>
  <si>
    <t>同意坡面噴植統一更改噴植，並增加噴植面積、增加不織布。</t>
    <phoneticPr fontId="5" type="noConversion"/>
  </si>
  <si>
    <t>同意移除外來種增加植栽數量，並於固化土步道旁設置里程牌。</t>
    <phoneticPr fontId="5" type="noConversion"/>
  </si>
  <si>
    <t>同意堤頂既有人行道高壓磚拆除回收。</t>
    <phoneticPr fontId="5" type="noConversion"/>
  </si>
  <si>
    <t>契約工程試驗項目數量多列及不足等需辦理調整，同意依實一併納入修正施工辦理調整修正。</t>
    <phoneticPr fontId="5" type="noConversion"/>
  </si>
  <si>
    <t>同意調整相關鋪面級配厚度；平台內增加綠帶並調整車道擋牆圓角及階梯高度；透水混凝土鋪面改以混凝土刷毛鋪面施作
；停車場標線需求與相關號誌設置</t>
    <phoneticPr fontId="5" type="noConversion"/>
  </si>
  <si>
    <r>
      <t>(三)</t>
    </r>
    <r>
      <rPr>
        <sz val="12"/>
        <rFont val="標楷體"/>
        <family val="4"/>
        <charset val="136"/>
      </rPr>
      <t xml:space="preserve"> </t>
    </r>
    <r>
      <rPr>
        <sz val="14"/>
        <rFont val="標楷體"/>
        <family val="4"/>
        <charset val="136"/>
      </rPr>
      <t>瀝青表面處理，單層，瀝青意象彩繪鋪面-波紋</t>
    </r>
  </si>
  <si>
    <t>生態池區(布袋蓮、蘆竹移除)</t>
    <phoneticPr fontId="10" type="noConversion"/>
  </si>
  <si>
    <t>2235+1180</t>
    <phoneticPr fontId="5" type="noConversion"/>
  </si>
  <si>
    <t>混凝土透水鋪面，自行車停放區</t>
    <phoneticPr fontId="10" type="noConversion"/>
  </si>
  <si>
    <t>m²</t>
    <phoneticPr fontId="10" type="noConversion"/>
  </si>
  <si>
    <t>149.96+105.76</t>
    <phoneticPr fontId="10" type="noConversion"/>
  </si>
  <si>
    <t>自行車停放區</t>
    <phoneticPr fontId="10" type="noConversion"/>
  </si>
  <si>
    <t>蔓荊，25≦ 高度＜30㎝，15≦寬度＜20cm，7cm≦容器直徑＜10cm</t>
    <phoneticPr fontId="10" type="noConversion"/>
  </si>
  <si>
    <t>9423+45+45+45</t>
    <phoneticPr fontId="5" type="noConversion"/>
  </si>
  <si>
    <t>蘆葦，30 ≦ 高度(枝長) &lt; 40㎝,寬度＜10cm,容器直徑＜10cm</t>
    <phoneticPr fontId="10" type="noConversion"/>
  </si>
  <si>
    <t>株</t>
    <phoneticPr fontId="10" type="noConversion"/>
  </si>
  <si>
    <t>高壓混凝土磚(10*20*8cm)</t>
    <phoneticPr fontId="10" type="noConversion"/>
  </si>
  <si>
    <t>M</t>
    <phoneticPr fontId="10" type="noConversion"/>
  </si>
  <si>
    <t>(102.4+90+(6*30)+85+72.6+(24*6))</t>
    <phoneticPr fontId="5" type="noConversion"/>
  </si>
  <si>
    <r>
      <rPr>
        <sz val="14"/>
        <color rgb="FFFF0000"/>
        <rFont val="標楷體"/>
        <family val="4"/>
        <charset val="136"/>
      </rPr>
      <t>計</t>
    </r>
    <phoneticPr fontId="10" type="noConversion"/>
  </si>
  <si>
    <t>固化土切割縫</t>
    <phoneticPr fontId="5" type="noConversion"/>
  </si>
  <si>
    <t>混凝土附屬品，600mmRCP
,B-3型管</t>
    <phoneticPr fontId="5" type="noConversion"/>
  </si>
  <si>
    <t>支</t>
    <phoneticPr fontId="5" type="noConversion"/>
  </si>
  <si>
    <t>2+2</t>
    <phoneticPr fontId="5" type="noConversion"/>
  </si>
  <si>
    <t>親子停車位標準型標誌</t>
    <phoneticPr fontId="5" type="noConversion"/>
  </si>
  <si>
    <t>組</t>
    <phoneticPr fontId="5" type="noConversion"/>
  </si>
  <si>
    <t>組</t>
    <phoneticPr fontId="5" type="noConversion"/>
  </si>
  <si>
    <t>1+1</t>
    <phoneticPr fontId="5" type="noConversion"/>
  </si>
  <si>
    <t>停車場入口指示牌</t>
  </si>
  <si>
    <t>抿石子(藍色系) A牆</t>
  </si>
  <si>
    <t>M2</t>
    <phoneticPr fontId="10" type="noConversion"/>
  </si>
  <si>
    <t>抿石子(藍色系) B牆</t>
    <phoneticPr fontId="5" type="noConversion"/>
  </si>
  <si>
    <t>造型牆面B(陶板)</t>
    <phoneticPr fontId="5" type="noConversion"/>
  </si>
  <si>
    <t>1+1+1+1</t>
    <phoneticPr fontId="5" type="noConversion"/>
  </si>
  <si>
    <t>瀝青彩繪鋪面</t>
    <phoneticPr fontId="5" type="noConversion"/>
  </si>
  <si>
    <t>無障礙欄杆</t>
    <phoneticPr fontId="5" type="noConversion"/>
  </si>
  <si>
    <t>里程牌</t>
    <phoneticPr fontId="5" type="noConversion"/>
  </si>
  <si>
    <t>棧板(1100*1100*140mm)</t>
    <phoneticPr fontId="5" type="noConversion"/>
  </si>
  <si>
    <t>株</t>
    <phoneticPr fontId="5" type="noConversion"/>
  </si>
  <si>
    <t>喬木，楝樹，300 ≦ 樹高 &lt; 350㎝，120≦樹幅＜140cm，9 ≦ 米高直徑 &lt; 10㎝</t>
    <phoneticPr fontId="5" type="noConversion"/>
  </si>
  <si>
    <t>宜梧，25≦ 高度＜30㎝，15≦寬度＜20cm，7cm≦容器直徑＜10cm</t>
    <phoneticPr fontId="5" type="noConversion"/>
  </si>
  <si>
    <t>濱水菜，高度(枝長)&lt; 10㎝，寬度＜10cm，容器直徑＜7cm盆苗</t>
    <phoneticPr fontId="5" type="noConversion"/>
  </si>
  <si>
    <t>台灣萍蓬草，高度(枝長)&lt; 10㎝，寬度＜10cm，容器直徑＜7cm盆苗</t>
    <phoneticPr fontId="5" type="noConversion"/>
  </si>
  <si>
    <t>石材</t>
    <phoneticPr fontId="5" type="noConversion"/>
  </si>
  <si>
    <t>6+4+6</t>
    <phoneticPr fontId="5" type="noConversion"/>
  </si>
  <si>
    <t>81+1161+81</t>
    <phoneticPr fontId="5" type="noConversion"/>
  </si>
  <si>
    <t>120*16</t>
    <phoneticPr fontId="5" type="noConversion"/>
  </si>
  <si>
    <t>200*9</t>
    <phoneticPr fontId="5" type="noConversion"/>
  </si>
  <si>
    <t>(283/0.35)*10</t>
    <phoneticPr fontId="10" type="noConversion"/>
  </si>
  <si>
    <t>((283/0.35)*10)-((2/0.35)*10)</t>
    <phoneticPr fontId="5" type="noConversion"/>
  </si>
  <si>
    <t>橫向草溝(一)-1</t>
    <phoneticPr fontId="10" type="noConversion"/>
  </si>
  <si>
    <t>橫向草溝(二)-1</t>
    <phoneticPr fontId="10" type="noConversion"/>
  </si>
  <si>
    <t>橫向草溝(一)-2</t>
    <phoneticPr fontId="10" type="noConversion"/>
  </si>
  <si>
    <t>橫向草溝(二)-2</t>
    <phoneticPr fontId="10" type="noConversion"/>
  </si>
  <si>
    <t>橫向草溝(二)-1</t>
  </si>
  <si>
    <t>橫向草溝(一)-2</t>
  </si>
  <si>
    <t>橫向草溝(二)-2</t>
  </si>
  <si>
    <t>((269/0.35)*5)-((22/0.35)*5)</t>
    <phoneticPr fontId="5" type="noConversion"/>
  </si>
  <si>
    <t>((269/0.35)*5)-((19/0.35)*5)</t>
    <phoneticPr fontId="5" type="noConversion"/>
  </si>
  <si>
    <t>((272/0.35)*10)+((3/0.35)*10)</t>
    <phoneticPr fontId="5" type="noConversion"/>
  </si>
  <si>
    <t>(382*0.1)+(156*2*0.5)+(156*3*0.1)+(796*0.5)+(1569*0.1)</t>
    <phoneticPr fontId="10" type="noConversion"/>
  </si>
  <si>
    <t>停車場區</t>
    <phoneticPr fontId="10" type="noConversion"/>
  </si>
  <si>
    <t>6+6+6</t>
    <phoneticPr fontId="10" type="noConversion"/>
  </si>
  <si>
    <t>259.81*15+20.83*13</t>
    <phoneticPr fontId="10" type="noConversion"/>
  </si>
  <si>
    <t>250.91*15+19.94*13</t>
    <phoneticPr fontId="10" type="noConversion"/>
  </si>
  <si>
    <t>堤前緩坡-1</t>
    <phoneticPr fontId="10" type="noConversion"/>
  </si>
  <si>
    <t>堤前緩坡-2</t>
    <phoneticPr fontId="10" type="noConversion"/>
  </si>
  <si>
    <t>(15.89*94.2)+706.86+779.11</t>
    <phoneticPr fontId="10" type="noConversion"/>
  </si>
  <si>
    <t>生態池區</t>
    <phoneticPr fontId="10" type="noConversion"/>
  </si>
  <si>
    <t>381.75*1.00067</t>
    <phoneticPr fontId="10" type="noConversion"/>
  </si>
  <si>
    <t>停車場區-1</t>
    <phoneticPr fontId="10" type="noConversion"/>
  </si>
  <si>
    <t>6.9*155.8</t>
    <phoneticPr fontId="10" type="noConversion"/>
  </si>
  <si>
    <t>停車場區-2</t>
    <phoneticPr fontId="10" type="noConversion"/>
  </si>
  <si>
    <t>311+485</t>
    <phoneticPr fontId="10" type="noConversion"/>
  </si>
  <si>
    <t>停車場區-3</t>
    <phoneticPr fontId="10" type="noConversion"/>
  </si>
  <si>
    <t>1567.45*1.0012</t>
    <phoneticPr fontId="10" type="noConversion"/>
  </si>
  <si>
    <t>停車場區</t>
    <phoneticPr fontId="10" type="noConversion"/>
  </si>
  <si>
    <t>堤頂</t>
    <phoneticPr fontId="10" type="noConversion"/>
  </si>
  <si>
    <t>456+410</t>
    <phoneticPr fontId="10" type="noConversion"/>
  </si>
  <si>
    <t>39+65</t>
    <phoneticPr fontId="10" type="noConversion"/>
  </si>
  <si>
    <t>固化土步道</t>
    <phoneticPr fontId="10" type="noConversion"/>
  </si>
  <si>
    <t>固化土步道</t>
    <phoneticPr fontId="10" type="noConversion"/>
  </si>
  <si>
    <r>
      <rPr>
        <sz val="14"/>
        <color indexed="8"/>
        <rFont val="標楷體"/>
        <family val="4"/>
        <charset val="136"/>
      </rPr>
      <t>計</t>
    </r>
    <phoneticPr fontId="10" type="noConversion"/>
  </si>
  <si>
    <t>2+2</t>
    <phoneticPr fontId="10" type="noConversion"/>
  </si>
  <si>
    <t>3+3+3+3</t>
    <phoneticPr fontId="10" type="noConversion"/>
  </si>
  <si>
    <t>(12.4+(20.4*7))*0.1</t>
    <phoneticPr fontId="10" type="noConversion"/>
  </si>
  <si>
    <t>(2+4*10)*3*0.1</t>
    <phoneticPr fontId="10" type="noConversion"/>
  </si>
  <si>
    <t>(1.36+0.14+2.72+1.8)*2</t>
    <phoneticPr fontId="10" type="noConversion"/>
  </si>
  <si>
    <t>6.46+6.044</t>
    <phoneticPr fontId="10" type="noConversion"/>
  </si>
  <si>
    <t>0.4+0.96+0.4+0.96</t>
    <phoneticPr fontId="10" type="noConversion"/>
  </si>
  <si>
    <t>1.8+1.72</t>
    <phoneticPr fontId="10" type="noConversion"/>
  </si>
  <si>
    <t>大客車</t>
  </si>
  <si>
    <t>機車</t>
  </si>
  <si>
    <t>無障礙機車</t>
  </si>
  <si>
    <t>親子車位</t>
  </si>
  <si>
    <t>無障礙小客車</t>
    <phoneticPr fontId="10" type="noConversion"/>
  </si>
  <si>
    <t>造型牆面</t>
    <phoneticPr fontId="10" type="noConversion"/>
  </si>
  <si>
    <t>造型牆面A</t>
    <phoneticPr fontId="10" type="noConversion"/>
  </si>
  <si>
    <t>造型牆面B</t>
    <phoneticPr fontId="10" type="noConversion"/>
  </si>
  <si>
    <t>269*1</t>
    <phoneticPr fontId="10" type="noConversion"/>
  </si>
  <si>
    <t>堤前緩坡-1</t>
    <phoneticPr fontId="10" type="noConversion"/>
  </si>
  <si>
    <t>堤前緩坡-2</t>
    <phoneticPr fontId="10" type="noConversion"/>
  </si>
  <si>
    <t>3*538</t>
    <phoneticPr fontId="10" type="noConversion"/>
  </si>
  <si>
    <t>2*9.6*12</t>
    <phoneticPr fontId="10" type="noConversion"/>
  </si>
  <si>
    <t>橫向草溝</t>
    <phoneticPr fontId="10" type="noConversion"/>
  </si>
  <si>
    <t>67+66</t>
    <phoneticPr fontId="10" type="noConversion"/>
  </si>
  <si>
    <t>77+24</t>
    <phoneticPr fontId="10" type="noConversion"/>
  </si>
  <si>
    <t>275+249</t>
    <phoneticPr fontId="10" type="noConversion"/>
  </si>
  <si>
    <t>新增緣石抿石子</t>
  </si>
  <si>
    <t>既有涼亭抿石子</t>
  </si>
  <si>
    <t>步道抿石子</t>
  </si>
  <si>
    <t>41.47+7.68+16.44+32.45</t>
    <phoneticPr fontId="10" type="noConversion"/>
  </si>
  <si>
    <t>52+71</t>
    <phoneticPr fontId="10" type="noConversion"/>
  </si>
  <si>
    <t>2.02+16.44+36.48+28.83+40.57+45.82+7.68+2.58</t>
    <phoneticPr fontId="10" type="noConversion"/>
  </si>
  <si>
    <t>瀝青鋪面(含透層)，厚5cm，含碎石級配</t>
    <phoneticPr fontId="10" type="noConversion"/>
  </si>
  <si>
    <t>八號越提路</t>
    <phoneticPr fontId="10" type="noConversion"/>
  </si>
  <si>
    <t>停車場區</t>
    <phoneticPr fontId="10" type="noConversion"/>
  </si>
  <si>
    <t>373+422</t>
    <phoneticPr fontId="10" type="noConversion"/>
  </si>
  <si>
    <t>混凝土刷毛鋪面</t>
    <phoneticPr fontId="10" type="noConversion"/>
  </si>
  <si>
    <t>人行道面層，混凝土舖面
，刷毛</t>
    <phoneticPr fontId="10" type="noConversion"/>
  </si>
  <si>
    <t>1094+126+182+114</t>
    <phoneticPr fontId="10" type="noConversion"/>
  </si>
  <si>
    <t>車道鋪面</t>
    <phoneticPr fontId="10" type="noConversion"/>
  </si>
  <si>
    <t>八號越堤口</t>
    <phoneticPr fontId="10" type="noConversion"/>
  </si>
  <si>
    <t>景觀平台/自行車停放區</t>
    <phoneticPr fontId="10" type="noConversion"/>
  </si>
  <si>
    <t>路緣石基礎</t>
    <phoneticPr fontId="10" type="noConversion"/>
  </si>
  <si>
    <t>0.04*715</t>
  </si>
  <si>
    <t>0.08*(156+43+77+250+189)</t>
    <phoneticPr fontId="10" type="noConversion"/>
  </si>
  <si>
    <t>路緣石</t>
    <phoneticPr fontId="10" type="noConversion"/>
  </si>
  <si>
    <t>路緣石</t>
    <phoneticPr fontId="10" type="noConversion"/>
  </si>
  <si>
    <t>路緣石</t>
    <phoneticPr fontId="10" type="noConversion"/>
  </si>
  <si>
    <t>車阻緣石</t>
    <phoneticPr fontId="10" type="noConversion"/>
  </si>
  <si>
    <t>58.65*(77+93)</t>
    <phoneticPr fontId="10" type="noConversion"/>
  </si>
  <si>
    <t>L型擋牆</t>
    <phoneticPr fontId="10" type="noConversion"/>
  </si>
  <si>
    <t>1.2*(84+95)</t>
    <phoneticPr fontId="10" type="noConversion"/>
  </si>
  <si>
    <t>1.2*(77+93)</t>
    <phoneticPr fontId="10" type="noConversion"/>
  </si>
  <si>
    <t>14.85*2</t>
    <phoneticPr fontId="10" type="noConversion"/>
  </si>
  <si>
    <t>1.48+2.41+1.59+3.12+2.69+1.53</t>
    <phoneticPr fontId="10" type="noConversion"/>
  </si>
  <si>
    <t>地坪抿石子</t>
    <phoneticPr fontId="10" type="noConversion"/>
  </si>
  <si>
    <t>階梯</t>
    <phoneticPr fontId="10" type="noConversion"/>
  </si>
  <si>
    <t>2*213.51</t>
    <phoneticPr fontId="10" type="noConversion"/>
  </si>
  <si>
    <t>4.9*(156+43+77+250+189)</t>
    <phoneticPr fontId="10" type="noConversion"/>
  </si>
  <si>
    <t>鋼筋，SD280，連工帶料</t>
    <phoneticPr fontId="10" type="noConversion"/>
  </si>
  <si>
    <t>4*(77+93)</t>
    <phoneticPr fontId="10" type="noConversion"/>
  </si>
  <si>
    <t>2*18.9</t>
    <phoneticPr fontId="10" type="noConversion"/>
  </si>
  <si>
    <t>4.9*(156+68+304+55+43)</t>
    <phoneticPr fontId="10" type="noConversion"/>
  </si>
  <si>
    <t>路緣石</t>
    <phoneticPr fontId="10" type="noConversion"/>
  </si>
  <si>
    <t>4*(84+95)</t>
    <phoneticPr fontId="10" type="noConversion"/>
  </si>
  <si>
    <t>L型擋牆</t>
    <phoneticPr fontId="10" type="noConversion"/>
  </si>
  <si>
    <t>0.9*(77+93)</t>
    <phoneticPr fontId="10" type="noConversion"/>
  </si>
  <si>
    <t>0.9*(84+95)</t>
    <phoneticPr fontId="10" type="noConversion"/>
  </si>
  <si>
    <t>緣石</t>
    <phoneticPr fontId="10" type="noConversion"/>
  </si>
  <si>
    <t>0.11*(77+93)</t>
    <phoneticPr fontId="10" type="noConversion"/>
  </si>
  <si>
    <t>2*3.2</t>
    <phoneticPr fontId="10" type="noConversion"/>
  </si>
  <si>
    <t>0.96*(77+93)</t>
    <phoneticPr fontId="10" type="noConversion"/>
  </si>
  <si>
    <t>2.39*2</t>
    <phoneticPr fontId="10" type="noConversion"/>
  </si>
  <si>
    <t>階梯</t>
    <phoneticPr fontId="10" type="noConversion"/>
  </si>
  <si>
    <t>0.08*(156+68+304+55+43)</t>
    <phoneticPr fontId="10" type="noConversion"/>
  </si>
  <si>
    <t>0.11*(84+95)</t>
    <phoneticPr fontId="10" type="noConversion"/>
  </si>
  <si>
    <t>緣石</t>
    <phoneticPr fontId="10" type="noConversion"/>
  </si>
  <si>
    <t>0.96*(84+95)</t>
    <phoneticPr fontId="10" type="noConversion"/>
  </si>
  <si>
    <t>L型擋牆</t>
    <phoneticPr fontId="10" type="noConversion"/>
  </si>
  <si>
    <t>0.17*(77+93)</t>
    <phoneticPr fontId="10" type="noConversion"/>
  </si>
  <si>
    <t>2*0.31</t>
    <phoneticPr fontId="10" type="noConversion"/>
  </si>
  <si>
    <t>0.17*(84+95)</t>
    <phoneticPr fontId="10" type="noConversion"/>
  </si>
  <si>
    <t>L型擋牆</t>
    <phoneticPr fontId="10" type="noConversion"/>
  </si>
  <si>
    <t>((PI()*15*15+PI()*27*27+
(PI()*15*15*PI()*27*27)^0.5)*6.2/3)+(12*389.56)</t>
    <phoneticPr fontId="10" type="noConversion"/>
  </si>
  <si>
    <t>((23.3+35.09)*40)+((29.03+20.71)*40)+(36.45*60)+(22.05*60)</t>
    <phoneticPr fontId="10" type="noConversion"/>
  </si>
  <si>
    <t>工程名稱:濁水溪許厝寮堤段整體環境改善工程</t>
    <phoneticPr fontId="5" type="noConversion"/>
  </si>
  <si>
    <t>壹.一</t>
    <phoneticPr fontId="5" type="noConversion"/>
  </si>
  <si>
    <t>壹.二</t>
    <phoneticPr fontId="5" type="noConversion"/>
  </si>
  <si>
    <t>壹.三</t>
    <phoneticPr fontId="5" type="noConversion"/>
  </si>
  <si>
    <t>壹.四</t>
    <phoneticPr fontId="5" type="noConversion"/>
  </si>
  <si>
    <t>壹.五</t>
    <phoneticPr fontId="5" type="noConversion"/>
  </si>
  <si>
    <t>壹.六</t>
    <phoneticPr fontId="5" type="noConversion"/>
  </si>
  <si>
    <t>壹.七</t>
    <phoneticPr fontId="5" type="noConversion"/>
  </si>
  <si>
    <t>壹.八</t>
    <phoneticPr fontId="5" type="noConversion"/>
  </si>
  <si>
    <t xml:space="preserve"> </t>
    <phoneticPr fontId="5" type="noConversion"/>
  </si>
  <si>
    <t>次</t>
    <phoneticPr fontId="5" type="noConversion"/>
  </si>
  <si>
    <t>77</t>
  </si>
  <si>
    <t>25+8+4+4+4</t>
    <phoneticPr fontId="5" type="noConversion"/>
  </si>
  <si>
    <t>主體工程</t>
    <phoneticPr fontId="5" type="noConversion"/>
  </si>
  <si>
    <t>雜項工程</t>
    <phoneticPr fontId="5" type="noConversion"/>
  </si>
  <si>
    <t>工程保險費</t>
    <phoneticPr fontId="5" type="noConversion"/>
  </si>
  <si>
    <t>用地鑑界</t>
    <phoneticPr fontId="5" type="noConversion"/>
  </si>
  <si>
    <t>工作項目：B牆培厚</t>
    <phoneticPr fontId="5" type="noConversion"/>
  </si>
  <si>
    <t>鋼筋，SD280W，含彎紮組立及損耗</t>
    <phoneticPr fontId="5" type="noConversion"/>
  </si>
  <si>
    <t>固化土步道</t>
    <phoneticPr fontId="10" type="noConversion"/>
  </si>
  <si>
    <t>PC長度</t>
    <phoneticPr fontId="10" type="noConversion"/>
  </si>
  <si>
    <t>0.1*2*(58+16+77+93+715)</t>
    <phoneticPr fontId="10" type="noConversion"/>
  </si>
  <si>
    <t>4257-3*11</t>
    <phoneticPr fontId="10" type="noConversion"/>
  </si>
  <si>
    <t>259.81*15.9+20.83*13</t>
    <phoneticPr fontId="10" type="noConversion"/>
  </si>
  <si>
    <t>250.91*15.9+19.94*13</t>
    <phoneticPr fontId="10" type="noConversion"/>
  </si>
  <si>
    <t>2+10+7+7</t>
    <phoneticPr fontId="10" type="noConversion"/>
  </si>
  <si>
    <t>固化土步道4處</t>
    <phoneticPr fontId="10" type="noConversion"/>
  </si>
  <si>
    <t>(0.92+0.72)/2*16</t>
    <phoneticPr fontId="10" type="noConversion"/>
  </si>
  <si>
    <t>(1.5+1.3)*16.87+((1.5+0.5)*16.87/2*2)</t>
    <phoneticPr fontId="10" type="noConversion"/>
  </si>
  <si>
    <t>原:0.92*16 (未扣除斜率)</t>
    <phoneticPr fontId="10" type="noConversion"/>
  </si>
  <si>
    <t>26*16</t>
    <phoneticPr fontId="10" type="noConversion"/>
  </si>
  <si>
    <t>圖說26KG</t>
    <phoneticPr fontId="10" type="noConversion"/>
  </si>
  <si>
    <t>原0.02*16 (預鑄)</t>
    <phoneticPr fontId="10" type="noConversion"/>
  </si>
  <si>
    <t>原53</t>
    <phoneticPr fontId="10" type="noConversion"/>
  </si>
  <si>
    <t>原1400/3*3</t>
    <phoneticPr fontId="10" type="noConversion"/>
  </si>
  <si>
    <t>(1408-11)/3*3</t>
    <phoneticPr fontId="5" type="noConversion"/>
  </si>
  <si>
    <t>4401*0.1</t>
    <phoneticPr fontId="10" type="noConversion"/>
  </si>
  <si>
    <t>4249*0.1</t>
    <phoneticPr fontId="10" type="noConversion"/>
  </si>
  <si>
    <t>配合草皮數量修正</t>
    <phoneticPr fontId="10" type="noConversion"/>
  </si>
  <si>
    <t>原94.47=5.6*16.87 (未扣除斜率)</t>
    <phoneticPr fontId="10" type="noConversion"/>
  </si>
  <si>
    <t>面積299-12藍色系=287</t>
    <phoneticPr fontId="10" type="noConversion"/>
  </si>
  <si>
    <t>比照挖方數量7835 (7013改7835)</t>
    <phoneticPr fontId="10" type="noConversion"/>
  </si>
  <si>
    <t>車阻112個 (90改112)</t>
    <phoneticPr fontId="10" type="noConversion"/>
  </si>
  <si>
    <t>自行車停放區(0.3改0.15)</t>
    <phoneticPr fontId="10" type="noConversion"/>
  </si>
  <si>
    <t>4257-3*11</t>
    <phoneticPr fontId="10" type="noConversion"/>
  </si>
  <si>
    <t>坡長15.9 (15改15.9)</t>
    <phoneticPr fontId="10" type="noConversion"/>
  </si>
  <si>
    <t>固化土步道，客土機械已無法進入 (105改0)</t>
    <phoneticPr fontId="10" type="noConversion"/>
  </si>
  <si>
    <t xml:space="preserve">固化土步道總長:1408-11 </t>
    <phoneticPr fontId="10" type="noConversion"/>
  </si>
  <si>
    <t>1397*0.15*2</t>
    <phoneticPr fontId="10" type="noConversion"/>
  </si>
  <si>
    <t>203改81、26改84配合草皮數量修正</t>
    <phoneticPr fontId="10" type="noConversion"/>
  </si>
  <si>
    <t>50.4*16-((16/0.3*1.2*0.994)+(1.2*0.3*16*0.994))/2</t>
    <phoneticPr fontId="10" type="noConversion"/>
  </si>
  <si>
    <t>原50.4*16沒有扣除斜面</t>
    <phoneticPr fontId="10" type="noConversion"/>
  </si>
  <si>
    <t>4*96</t>
    <phoneticPr fontId="10" type="noConversion"/>
  </si>
  <si>
    <t>41.5/299</t>
    <phoneticPr fontId="5" type="noConversion"/>
  </si>
  <si>
    <t>3*55.05-0.5*20</t>
    <phoneticPr fontId="10" type="noConversion"/>
  </si>
  <si>
    <t>沒有扣除臨路側0.5高*20長</t>
    <phoneticPr fontId="10" type="noConversion"/>
  </si>
  <si>
    <t>50</t>
  </si>
  <si>
    <t>出入口車道旁</t>
    <phoneticPr fontId="10" type="noConversion"/>
  </si>
  <si>
    <t>(15+27+27+15)*0.15)+((58+43)*0.15</t>
    <phoneticPr fontId="10" type="noConversion"/>
  </si>
  <si>
    <t>景觀平台，人行道，自行車停放區兩塊</t>
    <phoneticPr fontId="10" type="noConversion"/>
  </si>
  <si>
    <t>八號越堤路</t>
    <phoneticPr fontId="10" type="noConversion"/>
  </si>
  <si>
    <t>八號越堤路、六號越堤路</t>
    <phoneticPr fontId="10" type="noConversion"/>
  </si>
  <si>
    <t>5+6+5+6</t>
    <phoneticPr fontId="5" type="noConversion"/>
  </si>
  <si>
    <t>鐵輪壓路機</t>
  </si>
  <si>
    <t>推土機</t>
    <phoneticPr fontId="5" type="noConversion"/>
  </si>
  <si>
    <t>依比例調整</t>
    <phoneticPr fontId="5" type="noConversion"/>
  </si>
  <si>
    <t>資料送審，編製與審查，簽認費，照片與插畫</t>
  </si>
  <si>
    <t>土方工作，挖方</t>
    <phoneticPr fontId="5" type="noConversion"/>
  </si>
  <si>
    <t>土方工作，回填方</t>
    <phoneticPr fontId="5" type="noConversion"/>
  </si>
  <si>
    <t>111年5月</t>
    <phoneticPr fontId="10" type="noConversion"/>
  </si>
  <si>
    <t>臨路側908改1224、北側246改(5.2*161=837)</t>
    <phoneticPr fontId="10" type="noConversion"/>
  </si>
  <si>
    <t>87+382+1224+837+1569</t>
    <phoneticPr fontId="10" type="noConversion"/>
  </si>
  <si>
    <t>9+38+122+157+84+46+10+41</t>
    <phoneticPr fontId="10" type="noConversion"/>
  </si>
  <si>
    <r>
      <rPr>
        <sz val="12"/>
        <rFont val="標楷體"/>
        <family val="4"/>
        <charset val="136"/>
      </rPr>
      <t>原設計
樁號</t>
    </r>
  </si>
  <si>
    <r>
      <rPr>
        <sz val="12"/>
        <rFont val="標楷體"/>
        <family val="4"/>
        <charset val="136"/>
      </rPr>
      <t>原設計
內容</t>
    </r>
  </si>
  <si>
    <r>
      <rPr>
        <sz val="12"/>
        <rFont val="標楷體"/>
        <family val="4"/>
        <charset val="136"/>
      </rPr>
      <t>修正後
樁號</t>
    </r>
  </si>
  <si>
    <r>
      <rPr>
        <sz val="12"/>
        <rFont val="標楷體"/>
        <family val="4"/>
        <charset val="136"/>
      </rPr>
      <t>修正後
內容</t>
    </r>
  </si>
  <si>
    <t>修正原因</t>
    <phoneticPr fontId="13" type="noConversion"/>
  </si>
  <si>
    <r>
      <rPr>
        <sz val="12"/>
        <rFont val="標楷體"/>
        <family val="4"/>
        <charset val="136"/>
      </rPr>
      <t>適用採購
法條款</t>
    </r>
  </si>
  <si>
    <t>政府採購法第22條第1項第7款規定所稱必須追加契約以外之工程規定辦理。</t>
  </si>
  <si>
    <t>依111年1月7日第2次工作會議</t>
  </si>
  <si>
    <t>依111年1月7日第2次工作會議</t>
    <phoneticPr fontId="13" type="noConversion"/>
  </si>
  <si>
    <t>依111年1月7日第2次工作會議</t>
    <phoneticPr fontId="13" type="noConversion"/>
  </si>
  <si>
    <t>依111年1月17日第1次變更會勘</t>
    <phoneticPr fontId="13" type="noConversion"/>
  </si>
  <si>
    <r>
      <t>依</t>
    </r>
    <r>
      <rPr>
        <sz val="13.5"/>
        <rFont val="Times New Roman"/>
        <family val="1"/>
      </rPr>
      <t>111</t>
    </r>
    <r>
      <rPr>
        <sz val="13.5"/>
        <rFont val="標楷體"/>
        <family val="4"/>
        <charset val="136"/>
      </rPr>
      <t>年</t>
    </r>
    <r>
      <rPr>
        <sz val="13.5"/>
        <rFont val="Times New Roman"/>
        <family val="1"/>
      </rPr>
      <t>1</t>
    </r>
    <r>
      <rPr>
        <sz val="13.5"/>
        <rFont val="標楷體"/>
        <family val="4"/>
        <charset val="136"/>
      </rPr>
      <t>月</t>
    </r>
    <r>
      <rPr>
        <sz val="13.5"/>
        <rFont val="Times New Roman"/>
        <family val="1"/>
      </rPr>
      <t>13</t>
    </r>
    <r>
      <rPr>
        <sz val="13.5"/>
        <rFont val="標楷體"/>
        <family val="4"/>
        <charset val="136"/>
      </rPr>
      <t>日電桿遷移會勘</t>
    </r>
    <r>
      <rPr>
        <sz val="13.5"/>
        <rFont val="Times New Roman"/>
        <family val="1"/>
      </rPr>
      <t xml:space="preserve"> </t>
    </r>
    <phoneticPr fontId="13" type="noConversion"/>
  </si>
  <si>
    <t>政府採購法第22條第1項第6款規定所稱必須追加契約以外之工程規定辦理。</t>
    <phoneticPr fontId="13" type="noConversion"/>
  </si>
  <si>
    <t>政府採購法第22條第1項第6款規定所稱必須追加契約以外之工程規定辦理。</t>
    <phoneticPr fontId="13" type="noConversion"/>
  </si>
  <si>
    <t>多功能停車場地盤改良範圍</t>
    <phoneticPr fontId="13" type="noConversion"/>
  </si>
  <si>
    <t>經重新檢討後其地盤改良應修正為5,767m2(包含停車場、車道並扣除景觀平台)</t>
    <phoneticPr fontId="13" type="noConversion"/>
  </si>
  <si>
    <t>停車格</t>
    <phoneticPr fontId="13" type="noConversion"/>
  </si>
  <si>
    <t>停車格</t>
    <phoneticPr fontId="13" type="noConversion"/>
  </si>
  <si>
    <t>固化土步道</t>
    <phoneticPr fontId="13" type="noConversion"/>
  </si>
  <si>
    <t>固化土步道</t>
    <phoneticPr fontId="13" type="noConversion"/>
  </si>
  <si>
    <t>無切割縫處理費用及模板側模。</t>
    <phoneticPr fontId="13" type="noConversion"/>
  </si>
  <si>
    <t>停車格標線、無車阻。</t>
    <phoneticPr fontId="13" type="noConversion"/>
  </si>
  <si>
    <t>施工圍籬</t>
    <phoneticPr fontId="13" type="noConversion"/>
  </si>
  <si>
    <t>施工圍籬</t>
    <phoneticPr fontId="13" type="noConversion"/>
  </si>
  <si>
    <t>圖說有繪製半阻隔式圍籬，而契約無編列相關數量。</t>
    <phoneticPr fontId="13" type="noConversion"/>
  </si>
  <si>
    <t>七</t>
    <phoneticPr fontId="13" type="noConversion"/>
  </si>
  <si>
    <t>六</t>
    <phoneticPr fontId="13" type="noConversion"/>
  </si>
  <si>
    <t>五</t>
    <phoneticPr fontId="13" type="noConversion"/>
  </si>
  <si>
    <t>四</t>
    <phoneticPr fontId="13" type="noConversion"/>
  </si>
  <si>
    <t>堤前緩坡0K+300~600</t>
    <phoneticPr fontId="13" type="noConversion"/>
  </si>
  <si>
    <t>無設計排水設施</t>
    <phoneticPr fontId="13" type="noConversion"/>
  </si>
  <si>
    <t>依111年3月2日第2次變更會勘</t>
    <phoneticPr fontId="5" type="noConversion"/>
  </si>
  <si>
    <t>橫向草溝0K+260堤尾及0K+593堤首</t>
    <phoneticPr fontId="13" type="noConversion"/>
  </si>
  <si>
    <t>0K+260堤尾及0K+593堤首橫向草溝無收尾</t>
    <phoneticPr fontId="13" type="noConversion"/>
  </si>
  <si>
    <t>工程試驗項目</t>
    <phoneticPr fontId="13" type="noConversion"/>
  </si>
  <si>
    <t>數量有多列及不足部分</t>
    <phoneticPr fontId="13" type="noConversion"/>
  </si>
  <si>
    <t>工程試驗項目數量有多列及不足部分</t>
    <phoneticPr fontId="5" type="noConversion"/>
  </si>
  <si>
    <t>工程試驗項目數量</t>
    <phoneticPr fontId="5" type="noConversion"/>
  </si>
  <si>
    <t>多功能停車場</t>
    <phoneticPr fontId="5" type="noConversion"/>
  </si>
  <si>
    <t>瀝青鋪面及植草磚鋪面</t>
    <phoneticPr fontId="5" type="noConversion"/>
  </si>
  <si>
    <t>地盤改良</t>
    <phoneticPr fontId="5" type="noConversion"/>
  </si>
  <si>
    <t>多功能停車場</t>
    <phoneticPr fontId="5" type="noConversion"/>
  </si>
  <si>
    <t>固化土步道</t>
    <phoneticPr fontId="5" type="noConversion"/>
  </si>
  <si>
    <t>既有3處RCP管</t>
    <phoneticPr fontId="5" type="noConversion"/>
  </si>
  <si>
    <t>停車場鄰近堤頂側木麻黃移除並新植水黃皮</t>
    <phoneticPr fontId="5" type="noConversion"/>
  </si>
  <si>
    <t>政府採購法第22條第1項第6款規定所稱必須追加契約以外之工程規定辦理。</t>
    <phoneticPr fontId="5" type="noConversion"/>
  </si>
  <si>
    <t>政府採購法第22條第1項第6款規定所稱必須追加契約以外之工程規定辦理。</t>
    <phoneticPr fontId="5" type="noConversion"/>
  </si>
  <si>
    <t>依111年3月2日變更會勘及111年3月7日第5次工作會議紀錄。</t>
    <phoneticPr fontId="5" type="noConversion"/>
  </si>
  <si>
    <t>依111年3月7日第5次工作會議紀錄。</t>
    <phoneticPr fontId="5" type="noConversion"/>
  </si>
  <si>
    <t>依111年3月22日變更設計會勘</t>
    <phoneticPr fontId="5" type="noConversion"/>
  </si>
  <si>
    <t>依111年3月7日第5次工作會議紀錄及111年3月18日生態環境營造工作坊會議。</t>
    <phoneticPr fontId="5" type="noConversion"/>
  </si>
  <si>
    <t>依111年3月7日第5次工作會議紀錄。</t>
    <phoneticPr fontId="5" type="noConversion"/>
  </si>
  <si>
    <t>修正原因</t>
    <phoneticPr fontId="5" type="noConversion"/>
  </si>
  <si>
    <t>工程試驗項目數量有多列及不足部分</t>
    <phoneticPr fontId="5" type="noConversion"/>
  </si>
  <si>
    <t>工程試驗項目</t>
    <phoneticPr fontId="5" type="noConversion"/>
  </si>
  <si>
    <t>工程試驗項目</t>
    <phoneticPr fontId="5" type="noConversion"/>
  </si>
  <si>
    <r>
      <t>(一)</t>
    </r>
    <r>
      <rPr>
        <sz val="13.5"/>
        <rFont val="標楷體"/>
        <family val="4"/>
        <charset val="136"/>
      </rPr>
      <t xml:space="preserve">多功能停車場
(二)景觀平台
(三)八號越堤路口之自行車停放區
</t>
    </r>
    <phoneticPr fontId="5" type="noConversion"/>
  </si>
  <si>
    <t>(一.2)人行道面層，混凝土舖面，刷毛(t=15cm)</t>
    <phoneticPr fontId="5" type="noConversion"/>
  </si>
  <si>
    <t xml:space="preserve">(一.3)水泥混凝土舖面，車道鋪面 </t>
    <phoneticPr fontId="5" type="noConversion"/>
  </si>
  <si>
    <t>(一.4)植草磚鋪面</t>
    <phoneticPr fontId="5" type="noConversion"/>
  </si>
  <si>
    <t>(二.1) 因配合停車場洩水坡度，原階梯高度調整及改善收邊側牆</t>
    <phoneticPr fontId="5" type="noConversion"/>
  </si>
  <si>
    <t>(一)多功能停車場各舖面級配厚度，車道擋牆直角
(二)景觀平台無綠帶
(三)八號越堤路口之自行車停放區無仿木車組，鋪面為透水鋪面及收邊路緣石。</t>
    <phoneticPr fontId="5" type="noConversion"/>
  </si>
  <si>
    <t>造型牆面A、B，既有步道、緣石、涼亭地面</t>
    <phoneticPr fontId="5" type="noConversion"/>
  </si>
  <si>
    <t>造型牆面A、B形式，既有步道、緣石、涼亭地面無抿石子。</t>
    <phoneticPr fontId="5" type="noConversion"/>
  </si>
  <si>
    <t>六號越堤路、八號越堤路及既有堤頂道路</t>
    <phoneticPr fontId="5" type="noConversion"/>
  </si>
  <si>
    <t>六號越堤路無瀝青彩繪鋪面</t>
    <phoneticPr fontId="5" type="noConversion"/>
  </si>
  <si>
    <t>既有堤頂、觀景平台斜坡道。</t>
    <phoneticPr fontId="5" type="noConversion"/>
  </si>
  <si>
    <t>無設置欄杆及障礙欄杆</t>
    <phoneticPr fontId="5" type="noConversion"/>
  </si>
  <si>
    <t>既有堤頂、觀景平台斜坡道</t>
    <phoneticPr fontId="5" type="noConversion"/>
  </si>
  <si>
    <t>坡面噴植區域、縱向草溝</t>
    <phoneticPr fontId="5" type="noConversion"/>
  </si>
  <si>
    <t>生態島、塔巢、固化土步道</t>
    <phoneticPr fontId="5" type="noConversion"/>
  </si>
  <si>
    <t>縱向草溝無設置不織布</t>
    <phoneticPr fontId="5" type="noConversion"/>
  </si>
  <si>
    <t>生態島及塔巢形式，固化土步道旁無設置里程牌。</t>
    <phoneticPr fontId="5" type="noConversion"/>
  </si>
  <si>
    <t>既有人行道</t>
    <phoneticPr fontId="5" type="noConversion"/>
  </si>
  <si>
    <t>既有人行道高壓磚保留</t>
    <phoneticPr fontId="5" type="noConversion"/>
  </si>
  <si>
    <t>同  意  書</t>
    <phoneticPr fontId="13" type="noConversion"/>
  </si>
  <si>
    <t>一、修正後發包費為：</t>
    <phoneticPr fontId="13" type="noConversion"/>
  </si>
  <si>
    <t>新台幣</t>
    <phoneticPr fontId="13" type="noConversion"/>
  </si>
  <si>
    <t>元整</t>
    <phoneticPr fontId="13" type="noConversion"/>
  </si>
  <si>
    <t>二、原契約發包費為：</t>
    <phoneticPr fontId="13" type="noConversion"/>
  </si>
  <si>
    <r>
      <t xml:space="preserve">    並同意願照本第</t>
    </r>
    <r>
      <rPr>
        <b/>
        <sz val="15"/>
        <color indexed="12"/>
        <rFont val="標楷體"/>
        <family val="4"/>
        <charset val="136"/>
      </rPr>
      <t>一</t>
    </r>
    <r>
      <rPr>
        <sz val="15"/>
        <rFont val="標楷體"/>
        <family val="4"/>
        <charset val="136"/>
      </rPr>
      <t>次修正施工(變更設計)預算內容辦理，恐口說無憑，特具此同意書。</t>
    </r>
    <phoneticPr fontId="13" type="noConversion"/>
  </si>
  <si>
    <t>此致</t>
    <phoneticPr fontId="13" type="noConversion"/>
  </si>
  <si>
    <t xml:space="preserve">    經濟部水利署第四河川局  </t>
    <phoneticPr fontId="13" type="noConversion"/>
  </si>
  <si>
    <t>中  華  民  國  111  年  5 月</t>
    <phoneticPr fontId="13" type="noConversion"/>
  </si>
  <si>
    <t>濁水溪許厝寮堤段整體環境改善工程</t>
    <phoneticPr fontId="13" type="noConversion"/>
  </si>
  <si>
    <t>經濟部水利署第四河川局</t>
    <phoneticPr fontId="5" type="noConversion"/>
  </si>
  <si>
    <t>第一次變更設計預算詳細表</t>
    <phoneticPr fontId="13" type="noConversion"/>
  </si>
  <si>
    <t>工程名稱：濁水溪許厝寮堤段整體環境改善工程</t>
    <phoneticPr fontId="5" type="noConversion"/>
  </si>
  <si>
    <t>紅字表示變更設計</t>
    <phoneticPr fontId="13" type="noConversion"/>
  </si>
  <si>
    <t>項次</t>
    <phoneticPr fontId="5" type="noConversion"/>
  </si>
  <si>
    <t>項目及說明</t>
    <phoneticPr fontId="5" type="noConversion"/>
  </si>
  <si>
    <t>單位</t>
    <phoneticPr fontId="5" type="noConversion"/>
  </si>
  <si>
    <t>原定數量</t>
    <phoneticPr fontId="5" type="noConversion"/>
  </si>
  <si>
    <t>變更後
數量</t>
    <phoneticPr fontId="5" type="noConversion"/>
  </si>
  <si>
    <t>增減數量</t>
    <phoneticPr fontId="5" type="noConversion"/>
  </si>
  <si>
    <t>單價</t>
    <phoneticPr fontId="5" type="noConversion"/>
  </si>
  <si>
    <t>新增單價</t>
    <phoneticPr fontId="5" type="noConversion"/>
  </si>
  <si>
    <t>原定合價</t>
    <phoneticPr fontId="5" type="noConversion"/>
  </si>
  <si>
    <t>變更後
合價</t>
    <phoneticPr fontId="5" type="noConversion"/>
  </si>
  <si>
    <t>增減合價</t>
    <phoneticPr fontId="5" type="noConversion"/>
  </si>
  <si>
    <t>備註</t>
    <phoneticPr fontId="5" type="noConversion"/>
  </si>
  <si>
    <t>增加</t>
    <phoneticPr fontId="5" type="noConversion"/>
  </si>
  <si>
    <t>減少</t>
    <phoneticPr fontId="5" type="noConversion"/>
  </si>
  <si>
    <t>增加</t>
    <phoneticPr fontId="5" type="noConversion"/>
  </si>
  <si>
    <t>減少</t>
    <phoneticPr fontId="5" type="noConversion"/>
  </si>
  <si>
    <t>壹.一</t>
    <phoneticPr fontId="13" type="noConversion"/>
  </si>
  <si>
    <t>土方工作，挖方</t>
    <phoneticPr fontId="5" type="noConversion"/>
  </si>
  <si>
    <t>M</t>
    <phoneticPr fontId="5" type="noConversion"/>
  </si>
  <si>
    <t>固化土切割縫</t>
    <phoneticPr fontId="5" type="noConversion"/>
  </si>
  <si>
    <t>M</t>
    <phoneticPr fontId="5" type="noConversion"/>
  </si>
  <si>
    <t>支</t>
    <phoneticPr fontId="5" type="noConversion"/>
  </si>
  <si>
    <t>株</t>
    <phoneticPr fontId="5" type="noConversion"/>
  </si>
  <si>
    <t>親子停車位標準型標誌</t>
    <phoneticPr fontId="5" type="noConversion"/>
  </si>
  <si>
    <t>組</t>
    <phoneticPr fontId="5" type="noConversion"/>
  </si>
  <si>
    <t>標誌牌(禁)</t>
    <phoneticPr fontId="5" type="noConversion"/>
  </si>
  <si>
    <t>停車場入口指示牌</t>
    <phoneticPr fontId="5" type="noConversion"/>
  </si>
  <si>
    <t>抿石子(藍色系) A牆</t>
    <phoneticPr fontId="5" type="noConversion"/>
  </si>
  <si>
    <t>M2</t>
    <phoneticPr fontId="5" type="noConversion"/>
  </si>
  <si>
    <t>式</t>
    <phoneticPr fontId="5" type="noConversion"/>
  </si>
  <si>
    <t>株</t>
    <phoneticPr fontId="5" type="noConversion"/>
  </si>
  <si>
    <t>宜梧，25≦ 高度＜30㎝，15≦寬度＜20cm，7cm≦容器直徑＜10cm</t>
    <phoneticPr fontId="5" type="noConversion"/>
  </si>
  <si>
    <t>台灣萍蓬草，高度(枝長)&lt; 10㎝，寬度＜10cm，容器直徑＜7cm盆苗</t>
    <phoneticPr fontId="5" type="noConversion"/>
  </si>
  <si>
    <t>石材</t>
    <phoneticPr fontId="5" type="noConversion"/>
  </si>
  <si>
    <t>B牆培厚</t>
    <phoneticPr fontId="5" type="noConversion"/>
  </si>
  <si>
    <t>小計</t>
    <phoneticPr fontId="13" type="noConversion"/>
  </si>
  <si>
    <t>壹.二</t>
    <phoneticPr fontId="13" type="noConversion"/>
  </si>
  <si>
    <t>公共管線系統之保護，路燈，永久性遷移(既有路燈遷移)</t>
    <phoneticPr fontId="5" type="noConversion"/>
  </si>
  <si>
    <t>揚塵測站電力桿遷移及管線埋設</t>
    <phoneticPr fontId="5" type="noConversion"/>
  </si>
  <si>
    <t>19</t>
    <phoneticPr fontId="5" type="noConversion"/>
  </si>
  <si>
    <t>M2</t>
    <phoneticPr fontId="5" type="noConversion"/>
  </si>
  <si>
    <t xml:space="preserve"> </t>
    <phoneticPr fontId="5" type="noConversion"/>
  </si>
  <si>
    <t xml:space="preserve"> </t>
    <phoneticPr fontId="5" type="noConversion"/>
  </si>
  <si>
    <t>壹.三</t>
    <phoneticPr fontId="5" type="noConversion"/>
  </si>
  <si>
    <t>職業安全衛生費</t>
    <phoneticPr fontId="13" type="noConversion"/>
  </si>
  <si>
    <t xml:space="preserve">       </t>
    <phoneticPr fontId="5" type="noConversion"/>
  </si>
  <si>
    <t>1</t>
    <phoneticPr fontId="5" type="noConversion"/>
  </si>
  <si>
    <t>職業安全衛生，教育訓練，安全衛生教育訓練</t>
    <phoneticPr fontId="5" type="noConversion"/>
  </si>
  <si>
    <t>產品，施工警告燈號，旋轉警告燈號，支架式</t>
    <phoneticPr fontId="5" type="noConversion"/>
  </si>
  <si>
    <t>16</t>
    <phoneticPr fontId="5" type="noConversion"/>
  </si>
  <si>
    <t>河中施工人員安全設施費(含救生衣、救生圈、救生縄及逃生路線開闢等逃生設備)</t>
    <phoneticPr fontId="5" type="noConversion"/>
  </si>
  <si>
    <t>壹.四</t>
    <phoneticPr fontId="5" type="noConversion"/>
  </si>
  <si>
    <t>環境保護措施費</t>
    <phoneticPr fontId="13" type="noConversion"/>
  </si>
  <si>
    <t>壹.五</t>
    <phoneticPr fontId="5" type="noConversion"/>
  </si>
  <si>
    <t>品質管制作業費</t>
    <phoneticPr fontId="13" type="noConversion"/>
  </si>
  <si>
    <t>檢驗費</t>
    <phoneticPr fontId="5" type="noConversion"/>
  </si>
  <si>
    <t>a</t>
    <phoneticPr fontId="5" type="noConversion"/>
  </si>
  <si>
    <t>b</t>
    <phoneticPr fontId="5" type="noConversion"/>
  </si>
  <si>
    <t>c</t>
    <phoneticPr fontId="5" type="noConversion"/>
  </si>
  <si>
    <t>d</t>
    <phoneticPr fontId="5" type="noConversion"/>
  </si>
  <si>
    <t>e</t>
    <phoneticPr fontId="5" type="noConversion"/>
  </si>
  <si>
    <t>品質管理，試驗規範及標準，土木工程及建築類檢驗，鋼筋外觀試驗</t>
    <phoneticPr fontId="5" type="noConversion"/>
  </si>
  <si>
    <t>f</t>
    <phoneticPr fontId="5" type="noConversion"/>
  </si>
  <si>
    <t>品質管理，試驗規範及標準，土木工程及建築類檢驗，竹節鋼筋抗彎試驗</t>
    <phoneticPr fontId="5" type="noConversion"/>
  </si>
  <si>
    <t>g</t>
    <phoneticPr fontId="5" type="noConversion"/>
  </si>
  <si>
    <t>品質管理，試驗規範及標準，土木工程及建築類檢驗，土壤夯實試驗</t>
    <phoneticPr fontId="5" type="noConversion"/>
  </si>
  <si>
    <t>h</t>
    <phoneticPr fontId="5" type="noConversion"/>
  </si>
  <si>
    <t>品質管理，試驗規範及標準，土木工程及建築類檢驗，銲接鋼線網檢驗</t>
    <phoneticPr fontId="5" type="noConversion"/>
  </si>
  <si>
    <t>i</t>
    <phoneticPr fontId="5" type="noConversion"/>
  </si>
  <si>
    <t>品質管理，試驗規範及標準，土木工程及建築類檢驗，工地密度試驗</t>
    <phoneticPr fontId="5" type="noConversion"/>
  </si>
  <si>
    <t>j</t>
    <phoneticPr fontId="5" type="noConversion"/>
  </si>
  <si>
    <t>k</t>
    <phoneticPr fontId="5" type="noConversion"/>
  </si>
  <si>
    <t>l</t>
    <phoneticPr fontId="5" type="noConversion"/>
  </si>
  <si>
    <t>品質管理，試驗規範及標準，土木工程及建築類檢驗，碎石級配磨損試驗</t>
    <phoneticPr fontId="5" type="noConversion"/>
  </si>
  <si>
    <t>m</t>
    <phoneticPr fontId="5" type="noConversion"/>
  </si>
  <si>
    <t>n</t>
    <phoneticPr fontId="5" type="noConversion"/>
  </si>
  <si>
    <t>o</t>
    <phoneticPr fontId="5" type="noConversion"/>
  </si>
  <si>
    <t>品質管理，品質管理費，土木工程及建築類檢驗，A3288瀝青路面壓實度試驗法</t>
    <phoneticPr fontId="5" type="noConversion"/>
  </si>
  <si>
    <t>p</t>
    <phoneticPr fontId="5" type="noConversion"/>
  </si>
  <si>
    <t>品質管理，品質管理費，土木工程及建築類檢驗，瀝青含油量試驗</t>
    <phoneticPr fontId="5" type="noConversion"/>
  </si>
  <si>
    <t>q</t>
    <phoneticPr fontId="5" type="noConversion"/>
  </si>
  <si>
    <t>r</t>
    <phoneticPr fontId="5" type="noConversion"/>
  </si>
  <si>
    <t>s</t>
    <phoneticPr fontId="5" type="noConversion"/>
  </si>
  <si>
    <t>t</t>
    <phoneticPr fontId="5" type="noConversion"/>
  </si>
  <si>
    <t>品質管理，品質管理費，鐵金屬冶煉類檢驗，G2013金屬材料拉伸試驗法</t>
    <phoneticPr fontId="5" type="noConversion"/>
  </si>
  <si>
    <t>u</t>
    <phoneticPr fontId="5" type="noConversion"/>
  </si>
  <si>
    <t>品質管理，試驗規範及標準，土木工程及建築類檢驗，植草磚抗壓試驗</t>
    <phoneticPr fontId="5" type="noConversion"/>
  </si>
  <si>
    <t>v</t>
    <phoneticPr fontId="5" type="noConversion"/>
  </si>
  <si>
    <t>w</t>
    <phoneticPr fontId="5" type="noConversion"/>
  </si>
  <si>
    <t>x</t>
    <phoneticPr fontId="5" type="noConversion"/>
  </si>
  <si>
    <t>y</t>
    <phoneticPr fontId="5" type="noConversion"/>
  </si>
  <si>
    <t>(二)</t>
    <phoneticPr fontId="5" type="noConversion"/>
  </si>
  <si>
    <t>品管費</t>
    <phoneticPr fontId="5" type="noConversion"/>
  </si>
  <si>
    <t>壹.六</t>
    <phoneticPr fontId="5" type="noConversion"/>
  </si>
  <si>
    <t>廠商管理什費(包含利潤、管理)</t>
    <phoneticPr fontId="5" type="noConversion"/>
  </si>
  <si>
    <t>按比例調整</t>
    <phoneticPr fontId="5" type="noConversion"/>
  </si>
  <si>
    <t>壹.七</t>
    <phoneticPr fontId="5" type="noConversion"/>
  </si>
  <si>
    <t>壹.八</t>
    <phoneticPr fontId="5" type="noConversion"/>
  </si>
  <si>
    <t>發包工程費</t>
    <phoneticPr fontId="5" type="noConversion"/>
  </si>
  <si>
    <t xml:space="preserve"> </t>
    <phoneticPr fontId="13" type="noConversion"/>
  </si>
  <si>
    <t>貳</t>
    <phoneticPr fontId="5" type="noConversion"/>
  </si>
  <si>
    <t>局辦其他費</t>
    <phoneticPr fontId="5" type="noConversion"/>
  </si>
  <si>
    <t>E</t>
    <phoneticPr fontId="5" type="noConversion"/>
  </si>
  <si>
    <t>全</t>
    <phoneticPr fontId="5" type="noConversion"/>
  </si>
  <si>
    <t>原本一+二</t>
    <phoneticPr fontId="5" type="noConversion"/>
  </si>
  <si>
    <t>變更一+二</t>
    <phoneticPr fontId="5" type="noConversion"/>
  </si>
  <si>
    <t>變更/原本</t>
    <phoneticPr fontId="5" type="noConversion"/>
  </si>
  <si>
    <t>C</t>
    <phoneticPr fontId="5" type="noConversion"/>
  </si>
  <si>
    <r>
      <t>111</t>
    </r>
    <r>
      <rPr>
        <sz val="12"/>
        <rFont val="細明體"/>
        <family val="3"/>
        <charset val="136"/>
      </rPr>
      <t>年05月</t>
    </r>
    <phoneticPr fontId="9" type="noConversion"/>
  </si>
  <si>
    <t>0.82*(156+43+77+250+189)</t>
    <phoneticPr fontId="10" type="noConversion"/>
  </si>
  <si>
    <t>112*0.8*0.08</t>
    <phoneticPr fontId="10" type="noConversion"/>
  </si>
  <si>
    <t>((23.3+35.09)*40)+((29.03+20.71)*40)+(36.45*60)+(22.05
*60)</t>
    <phoneticPr fontId="10" type="noConversion"/>
  </si>
  <si>
    <t>112*0.8*0.82+0.075*224</t>
    <phoneticPr fontId="10" type="noConversion"/>
  </si>
  <si>
    <t>112*0.8*4.32</t>
    <phoneticPr fontId="10" type="noConversion"/>
  </si>
  <si>
    <t>113.91+182.8</t>
    <phoneticPr fontId="10" type="noConversion"/>
  </si>
  <si>
    <t>(一)考量人車問題，停車格增設車阻，以緣石施作。
(二)考量AC鋪面及植草磚界面需設界石。
(三)標線減做，改為高壓混凝土磚排列。</t>
    <phoneticPr fontId="13" type="noConversion"/>
  </si>
  <si>
    <t>(一)增加切割縫費用，每3m設置一處。
(二)增加一般模板費用。</t>
    <phoneticPr fontId="13" type="noConversion"/>
  </si>
  <si>
    <t>增加40m半阻隔式圍籬費用，並減少40m全阻隔式圍籬。</t>
    <phoneticPr fontId="13" type="noConversion"/>
  </si>
  <si>
    <t>橫向草溝(一)數量減做</t>
    <phoneticPr fontId="13" type="noConversion"/>
  </si>
  <si>
    <t>橫向草溝(二)數量減做</t>
    <phoneticPr fontId="13" type="noConversion"/>
  </si>
  <si>
    <t>橫向草溝(一)數量增加</t>
    <phoneticPr fontId="13" type="noConversion"/>
  </si>
  <si>
    <t>(一)混凝土鑽心試體切割蓋平與試驗數量減少</t>
    <phoneticPr fontId="13" type="noConversion"/>
  </si>
  <si>
    <t>(二)混凝土鑽心試體取樣數量減少</t>
    <phoneticPr fontId="13" type="noConversion"/>
  </si>
  <si>
    <t>(三)工地密度試驗數量增加</t>
    <phoneticPr fontId="13" type="noConversion"/>
  </si>
  <si>
    <t>(四)碎石級配工地密度試驗數量增加</t>
    <phoneticPr fontId="13" type="noConversion"/>
  </si>
  <si>
    <t>(五)碎石級配粒料篩分析試驗數量減少</t>
    <phoneticPr fontId="13" type="noConversion"/>
  </si>
  <si>
    <t>(六)碎石級配壓實度試驗與厚度檢測數量增加</t>
    <phoneticPr fontId="13" type="noConversion"/>
  </si>
  <si>
    <t>(七)瀝青路面壓實度試驗法數量增加</t>
    <phoneticPr fontId="13" type="noConversion"/>
  </si>
  <si>
    <t>(八)瀝青含油量試驗數量增加</t>
    <phoneticPr fontId="13" type="noConversion"/>
  </si>
  <si>
    <t>(九)植草磚抗壓試驗數量增加</t>
    <phoneticPr fontId="13" type="noConversion"/>
  </si>
  <si>
    <t>增加八號越堤揚塵測站電力管線埋設</t>
    <phoneticPr fontId="13" type="noConversion"/>
  </si>
  <si>
    <t>新埋設4處RCP管排水，每處共3支RCP管(300mm)</t>
    <phoneticPr fontId="13" type="noConversion"/>
  </si>
  <si>
    <t>停車場鄰近堤頂側木麻黃保留，修改兩處入口及草溝，移除兩處仿木車阻，臨水防道路側草溝位置退縮，車道擋牆減做。原新植水黃皮移除，於適宜處新植朴樹。</t>
    <phoneticPr fontId="5" type="noConversion"/>
  </si>
  <si>
    <t>(一)人行道刷毛鋪面數量減做
(二) 路緣石數量減做
(三) 車道擋牆數量減做
(四)仿木車阻數量減做
(五)RCP管(300mm)數量新設
(六)水黃皮移除
(七)朴樹新植</t>
    <phoneticPr fontId="5" type="noConversion"/>
  </si>
  <si>
    <t xml:space="preserve">(一)原3處RCP管(300mm)減做
(二)新設生態通道RCP管(600mm)
</t>
    <phoneticPr fontId="5" type="noConversion"/>
  </si>
  <si>
    <t>減做地盤改良5,767m2(包含停車場、車道並扣除景觀平台)</t>
    <phoneticPr fontId="5" type="noConversion"/>
  </si>
  <si>
    <t>(一)停車場瀝青鋪面數量減做
(二)植草磚鋪面數量減做</t>
    <phoneticPr fontId="5" type="noConversion"/>
  </si>
  <si>
    <r>
      <t>(一)</t>
    </r>
    <r>
      <rPr>
        <sz val="7"/>
        <rFont val="標楷體"/>
        <family val="4"/>
        <charset val="136"/>
      </rPr>
      <t> </t>
    </r>
    <r>
      <rPr>
        <sz val="13.5"/>
        <rFont val="標楷體"/>
        <family val="4"/>
        <charset val="136"/>
      </rPr>
      <t>工地密度試驗數量增加</t>
    </r>
    <phoneticPr fontId="5" type="noConversion"/>
  </si>
  <si>
    <r>
      <t>(二)</t>
    </r>
    <r>
      <rPr>
        <sz val="7"/>
        <rFont val="標楷體"/>
        <family val="4"/>
        <charset val="136"/>
      </rPr>
      <t> </t>
    </r>
    <r>
      <rPr>
        <sz val="14"/>
        <rFont val="標楷體"/>
        <family val="4"/>
        <charset val="136"/>
      </rPr>
      <t>碎石級配工地密度</t>
    </r>
    <r>
      <rPr>
        <sz val="13.5"/>
        <rFont val="標楷體"/>
        <family val="4"/>
        <charset val="136"/>
      </rPr>
      <t>試驗數量增加</t>
    </r>
    <phoneticPr fontId="5" type="noConversion"/>
  </si>
  <si>
    <r>
      <t>(三)</t>
    </r>
    <r>
      <rPr>
        <sz val="7"/>
        <rFont val="標楷體"/>
        <family val="4"/>
        <charset val="136"/>
      </rPr>
      <t> </t>
    </r>
    <r>
      <rPr>
        <sz val="14"/>
        <rFont val="標楷體"/>
        <family val="4"/>
        <charset val="136"/>
      </rPr>
      <t>植草磚抗壓試驗數量</t>
    </r>
    <r>
      <rPr>
        <sz val="13.5"/>
        <rFont val="標楷體"/>
        <family val="4"/>
        <charset val="136"/>
      </rPr>
      <t>減少</t>
    </r>
    <phoneticPr fontId="5" type="noConversion"/>
  </si>
  <si>
    <r>
      <t>(四)</t>
    </r>
    <r>
      <rPr>
        <sz val="7"/>
        <rFont val="標楷體"/>
        <family val="4"/>
        <charset val="136"/>
      </rPr>
      <t> </t>
    </r>
    <r>
      <rPr>
        <sz val="14"/>
        <rFont val="標楷體"/>
        <family val="4"/>
        <charset val="136"/>
      </rPr>
      <t>地工織物抗拉強度及伸長率試驗數量</t>
    </r>
    <r>
      <rPr>
        <sz val="13.5"/>
        <rFont val="標楷體"/>
        <family val="4"/>
        <charset val="136"/>
      </rPr>
      <t>增加</t>
    </r>
    <phoneticPr fontId="5" type="noConversion"/>
  </si>
  <si>
    <t>停車場相關鋪面配合調整增加級配厚度10cm
(一.1)瀝青鋪面(含透層)，厚5cm，含碎石級配</t>
    <phoneticPr fontId="5" type="noConversion"/>
  </si>
  <si>
    <t>(一.5)高壓混凝土磚配合取消地盤改良底層增加35cm碎石級配</t>
    <phoneticPr fontId="5" type="noConversion"/>
  </si>
  <si>
    <t>(一.6)增加路緣石底層增加結構用混凝土，預拌，140kgf/cm2</t>
    <phoneticPr fontId="5" type="noConversion"/>
  </si>
  <si>
    <t>(二.2) 景觀平台增加綠帶故場鑄結構混凝土用模板，乙種</t>
    <phoneticPr fontId="5" type="noConversion"/>
  </si>
  <si>
    <t>(三.1)混凝土透水舖面，自行車停放區，取消施作。</t>
    <phoneticPr fontId="5" type="noConversion"/>
  </si>
  <si>
    <t>(三.2)路緣石，配合透水鋪面取消，數量減少</t>
    <phoneticPr fontId="5" type="noConversion"/>
  </si>
  <si>
    <t>(三.3)仿木車阻數量增加</t>
    <phoneticPr fontId="5" type="noConversion"/>
  </si>
  <si>
    <t>(四.1)車阻緣石數量減做</t>
    <phoneticPr fontId="5" type="noConversion"/>
  </si>
  <si>
    <r>
      <t>(</t>
    </r>
    <r>
      <rPr>
        <sz val="14"/>
        <rFont val="標楷體"/>
        <family val="4"/>
        <charset val="136"/>
      </rPr>
      <t>四.2</t>
    </r>
    <r>
      <rPr>
        <sz val="13.5"/>
        <rFont val="標楷體"/>
        <family val="4"/>
        <charset val="136"/>
      </rPr>
      <t>)標線數量增加</t>
    </r>
    <phoneticPr fontId="5" type="noConversion"/>
  </si>
  <si>
    <t>(四.3)增加親子停車位標準型標誌</t>
    <phoneticPr fontId="5" type="noConversion"/>
  </si>
  <si>
    <t>(四.4)增加標誌牌(禁)</t>
    <phoneticPr fontId="5" type="noConversion"/>
  </si>
  <si>
    <t>(四.5)增加停車場入口指示牌</t>
    <phoneticPr fontId="5" type="noConversion"/>
  </si>
  <si>
    <t>造型牆面A、B修正形式，檢視既有步道、緣石、涼亭地面需增加抿石子。
(一)抿石子數量增加</t>
    <phoneticPr fontId="5" type="noConversion"/>
  </si>
  <si>
    <r>
      <t>(二)</t>
    </r>
    <r>
      <rPr>
        <sz val="14"/>
        <rFont val="標楷體"/>
        <family val="4"/>
        <charset val="136"/>
      </rPr>
      <t xml:space="preserve"> 抿石子(藍色系)</t>
    </r>
    <r>
      <rPr>
        <sz val="12"/>
        <rFont val="標楷體"/>
        <family val="4"/>
        <charset val="136"/>
      </rPr>
      <t xml:space="preserve"> </t>
    </r>
    <r>
      <rPr>
        <sz val="14"/>
        <rFont val="標楷體"/>
        <family val="4"/>
        <charset val="136"/>
      </rPr>
      <t>A牆數量增加</t>
    </r>
    <phoneticPr fontId="5" type="noConversion"/>
  </si>
  <si>
    <r>
      <t>(三)</t>
    </r>
    <r>
      <rPr>
        <sz val="14"/>
        <rFont val="標楷體"/>
        <family val="4"/>
        <charset val="136"/>
      </rPr>
      <t xml:space="preserve"> 抿石子(藍色系)</t>
    </r>
    <r>
      <rPr>
        <sz val="12"/>
        <rFont val="標楷體"/>
        <family val="4"/>
        <charset val="136"/>
      </rPr>
      <t xml:space="preserve"> </t>
    </r>
    <r>
      <rPr>
        <sz val="14"/>
        <rFont val="標楷體"/>
        <family val="4"/>
        <charset val="136"/>
      </rPr>
      <t>B牆數量增加</t>
    </r>
    <phoneticPr fontId="5" type="noConversion"/>
  </si>
  <si>
    <r>
      <t>(四)</t>
    </r>
    <r>
      <rPr>
        <sz val="14"/>
        <rFont val="標楷體"/>
        <family val="4"/>
        <charset val="136"/>
      </rPr>
      <t xml:space="preserve"> 原造型牆面，單價修正</t>
    </r>
    <phoneticPr fontId="5" type="noConversion"/>
  </si>
  <si>
    <r>
      <t>(五)</t>
    </r>
    <r>
      <rPr>
        <sz val="14"/>
        <rFont val="標楷體"/>
        <family val="4"/>
        <charset val="136"/>
      </rPr>
      <t xml:space="preserve"> 造型牆面B(陶板)增加一式</t>
    </r>
    <phoneticPr fontId="5" type="noConversion"/>
  </si>
  <si>
    <r>
      <t>(六)</t>
    </r>
    <r>
      <rPr>
        <sz val="14"/>
        <rFont val="標楷體"/>
        <family val="4"/>
        <charset val="136"/>
      </rPr>
      <t>入口意象，枕木減做一座</t>
    </r>
    <phoneticPr fontId="5" type="noConversion"/>
  </si>
  <si>
    <r>
      <t>(七)</t>
    </r>
    <r>
      <rPr>
        <sz val="12"/>
        <rFont val="標楷體"/>
        <family val="4"/>
        <charset val="136"/>
      </rPr>
      <t xml:space="preserve">  </t>
    </r>
    <r>
      <rPr>
        <sz val="14"/>
        <rFont val="標楷體"/>
        <family val="4"/>
        <charset val="136"/>
      </rPr>
      <t>鋪清碎石，2分石數量增加</t>
    </r>
    <phoneticPr fontId="5" type="noConversion"/>
  </si>
  <si>
    <r>
      <t>(八)</t>
    </r>
    <r>
      <rPr>
        <sz val="14"/>
        <rFont val="標楷體"/>
        <family val="4"/>
        <charset val="136"/>
      </rPr>
      <t>石材數量增加</t>
    </r>
    <phoneticPr fontId="5" type="noConversion"/>
  </si>
  <si>
    <t>(九)新增清洗涼亭、既有緣石面積數量</t>
    <phoneticPr fontId="5" type="noConversion"/>
  </si>
  <si>
    <r>
      <t>八號越堤路瀝青彩繪鋪面面積變小，六號越堤路增加瀝青彩繪鋪面，既有堤頂道路增加瀝青意象彩繪鋪面
(一)</t>
    </r>
    <r>
      <rPr>
        <sz val="12"/>
        <rFont val="標楷體"/>
        <family val="4"/>
        <charset val="136"/>
      </rPr>
      <t xml:space="preserve"> </t>
    </r>
    <r>
      <rPr>
        <sz val="14"/>
        <rFont val="標楷體"/>
        <family val="4"/>
        <charset val="136"/>
      </rPr>
      <t>瀝青LOGO彩繪鋪面面積增加</t>
    </r>
    <phoneticPr fontId="5" type="noConversion"/>
  </si>
  <si>
    <r>
      <t>(二)</t>
    </r>
    <r>
      <rPr>
        <sz val="12"/>
        <rFont val="標楷體"/>
        <family val="4"/>
        <charset val="136"/>
      </rPr>
      <t xml:space="preserve"> </t>
    </r>
    <r>
      <rPr>
        <sz val="14"/>
        <rFont val="標楷體"/>
        <family val="4"/>
        <charset val="136"/>
      </rPr>
      <t>瀝青彩繪鋪面面積增加</t>
    </r>
    <phoneticPr fontId="5" type="noConversion"/>
  </si>
  <si>
    <t>面積減做</t>
    <phoneticPr fontId="5" type="noConversion"/>
  </si>
  <si>
    <r>
      <t>(四)</t>
    </r>
    <r>
      <rPr>
        <sz val="12"/>
        <rFont val="標楷體"/>
        <family val="4"/>
        <charset val="136"/>
      </rPr>
      <t xml:space="preserve"> </t>
    </r>
    <r>
      <rPr>
        <sz val="14"/>
        <rFont val="標楷體"/>
        <family val="4"/>
        <charset val="136"/>
      </rPr>
      <t>瀝青意象彩繪鋪面-麥穗增加</t>
    </r>
    <phoneticPr fontId="5" type="noConversion"/>
  </si>
  <si>
    <t>(一)既有堤頂欄杆增加
(二)觀景平台斜坡道無障礙欄杆增加</t>
    <phoneticPr fontId="5" type="noConversion"/>
  </si>
  <si>
    <t>坡面噴植統一更改噴植，並增加噴植面積，防止草溝沉陷增加不織布。
(一)坡面噴植面積數量減做
(二)噴植面積數量增加
(三)客土面積數量減少
(四)不織布數量增加</t>
    <phoneticPr fontId="5" type="noConversion"/>
  </si>
  <si>
    <t>生態島及塔巢形式定案，移除外來種增加植栽數量，並於固化土步道旁設置里程牌
(一)土方工作，挖方，數量減做</t>
    <phoneticPr fontId="5" type="noConversion"/>
  </si>
  <si>
    <t>(二)土方工作，回填方，數量減做</t>
    <phoneticPr fontId="5" type="noConversion"/>
  </si>
  <si>
    <t>(三)石材數量增加</t>
    <phoneticPr fontId="5" type="noConversion"/>
  </si>
  <si>
    <t>(四)塔巢形式更改</t>
    <phoneticPr fontId="5" type="noConversion"/>
  </si>
  <si>
    <t>(五)新增楝樹</t>
    <phoneticPr fontId="5" type="noConversion"/>
  </si>
  <si>
    <t>(六)黃槿數量新增</t>
    <phoneticPr fontId="5" type="noConversion"/>
  </si>
  <si>
    <t>(七)朴樹數量新增</t>
    <phoneticPr fontId="5" type="noConversion"/>
  </si>
  <si>
    <t>(八)馬鞍藤數量增加</t>
    <phoneticPr fontId="5" type="noConversion"/>
  </si>
  <si>
    <t>(九)新增宜梧</t>
    <phoneticPr fontId="5" type="noConversion"/>
  </si>
  <si>
    <t>(九)新增濱水菜</t>
    <phoneticPr fontId="5" type="noConversion"/>
  </si>
  <si>
    <t>(十)新增台灣萍蓬草</t>
    <phoneticPr fontId="5" type="noConversion"/>
  </si>
  <si>
    <t>(十一)蘆葦減做</t>
    <phoneticPr fontId="5" type="noConversion"/>
  </si>
  <si>
    <t>(十二)布袋蓮、蘆竹移除(環境整理)</t>
    <phoneticPr fontId="5" type="noConversion"/>
  </si>
  <si>
    <t>(十三)清運處理費按比例調整</t>
    <phoneticPr fontId="5" type="noConversion"/>
  </si>
  <si>
    <t>(十四)新增里程牌</t>
    <phoneticPr fontId="5" type="noConversion"/>
  </si>
  <si>
    <t>(一)高壓磚拆除
(二)新增棧板</t>
    <phoneticPr fontId="5" type="noConversion"/>
  </si>
  <si>
    <t>(三)鋼筋外觀試驗數量增加</t>
    <phoneticPr fontId="5" type="noConversion"/>
  </si>
  <si>
    <t>(四)竹節鋼筋抗彎試驗數量增加</t>
    <phoneticPr fontId="5" type="noConversion"/>
  </si>
  <si>
    <t>(五)土壤夯實試驗數量減少</t>
    <phoneticPr fontId="5" type="noConversion"/>
  </si>
  <si>
    <t>(六)工地密度試驗數量減少</t>
    <phoneticPr fontId="5" type="noConversion"/>
  </si>
  <si>
    <t>(七)碎石級配工地密度試驗數量減少</t>
    <phoneticPr fontId="5" type="noConversion"/>
  </si>
  <si>
    <t>(八)瀝青含油量試驗數量增加</t>
    <phoneticPr fontId="5" type="noConversion"/>
  </si>
  <si>
    <t>(九)高壓混凝土磚抗壓試驗數量增加</t>
    <phoneticPr fontId="5" type="noConversion"/>
  </si>
  <si>
    <t>(十)新增瀝青篩分析試驗</t>
    <phoneticPr fontId="5" type="noConversion"/>
  </si>
  <si>
    <t>(十一)新增瀝青平坦度試驗</t>
    <phoneticPr fontId="5" type="noConversion"/>
  </si>
  <si>
    <t>(十二)新增熱浸鍍鋅檢驗試驗</t>
    <phoneticPr fontId="5" type="noConversion"/>
  </si>
  <si>
    <t>(十)鋁板，入口意象(LOGO及字體)調整比例變大</t>
    <phoneticPr fontId="5" type="noConversion"/>
  </si>
  <si>
    <t>壹.一.19</t>
    <phoneticPr fontId="5" type="noConversion"/>
  </si>
  <si>
    <t>壹.一.57</t>
    <phoneticPr fontId="5" type="noConversion"/>
  </si>
  <si>
    <t>工作項目：高壓混凝土磚(10*20*8cm)</t>
    <phoneticPr fontId="5" type="noConversion"/>
  </si>
  <si>
    <t>壹.一.58</t>
    <phoneticPr fontId="5" type="noConversion"/>
  </si>
  <si>
    <t>壹.一.59</t>
    <phoneticPr fontId="5" type="noConversion"/>
  </si>
  <si>
    <t>壹.一.60</t>
    <phoneticPr fontId="5" type="noConversion"/>
  </si>
  <si>
    <t>壹.一.61</t>
    <phoneticPr fontId="5" type="noConversion"/>
  </si>
  <si>
    <t>壹.一.62</t>
    <phoneticPr fontId="5" type="noConversion"/>
  </si>
  <si>
    <t>壹.一.63</t>
    <phoneticPr fontId="5" type="noConversion"/>
  </si>
  <si>
    <t>壹.一.64</t>
    <phoneticPr fontId="5" type="noConversion"/>
  </si>
  <si>
    <t>單位：組</t>
    <phoneticPr fontId="5" type="noConversion"/>
  </si>
  <si>
    <t>組</t>
    <phoneticPr fontId="5" type="noConversion"/>
  </si>
  <si>
    <t>組</t>
    <phoneticPr fontId="5" type="noConversion"/>
  </si>
  <si>
    <t>壹.一.65</t>
    <phoneticPr fontId="5" type="noConversion"/>
  </si>
  <si>
    <t>壹.一.66</t>
    <phoneticPr fontId="5" type="noConversion"/>
  </si>
  <si>
    <t>壹.一.67</t>
    <phoneticPr fontId="5" type="noConversion"/>
  </si>
  <si>
    <t>壹.一.68</t>
    <phoneticPr fontId="5" type="noConversion"/>
  </si>
  <si>
    <t>壹.一.69</t>
    <phoneticPr fontId="5" type="noConversion"/>
  </si>
  <si>
    <t>壹.一.70</t>
    <phoneticPr fontId="5" type="noConversion"/>
  </si>
  <si>
    <t>壹.一.71</t>
    <phoneticPr fontId="5" type="noConversion"/>
  </si>
  <si>
    <t>壹.一.72</t>
    <phoneticPr fontId="5" type="noConversion"/>
  </si>
  <si>
    <t>壹.一.73</t>
    <phoneticPr fontId="5" type="noConversion"/>
  </si>
  <si>
    <t>壹.一.74</t>
    <phoneticPr fontId="5" type="noConversion"/>
  </si>
  <si>
    <t>壹.一.75</t>
    <phoneticPr fontId="5" type="noConversion"/>
  </si>
  <si>
    <t>壹.一.76</t>
    <phoneticPr fontId="5" type="noConversion"/>
  </si>
  <si>
    <t>壹.一.77</t>
    <phoneticPr fontId="5" type="noConversion"/>
  </si>
  <si>
    <t>110-B-005-01-001-008
111-B-005-01-003-005</t>
    <phoneticPr fontId="13" type="noConversion"/>
  </si>
  <si>
    <t>111-B-005-01-003-005</t>
    <phoneticPr fontId="5" type="noConversion"/>
  </si>
  <si>
    <t>依111年1月18日及24日生態措施研商會議</t>
    <phoneticPr fontId="5" type="noConversion"/>
  </si>
  <si>
    <t>依111年3月2日第2次變更會勘</t>
    <phoneticPr fontId="5" type="noConversion"/>
  </si>
  <si>
    <t>原計算式為6,823m2*2層</t>
    <phoneticPr fontId="13" type="noConversion"/>
  </si>
  <si>
    <t>原設計
樁號</t>
    <phoneticPr fontId="13" type="noConversion"/>
  </si>
  <si>
    <r>
      <t>(一)</t>
    </r>
    <r>
      <rPr>
        <sz val="12"/>
        <rFont val="標楷體"/>
        <family val="4"/>
        <charset val="136"/>
      </rPr>
      <t xml:space="preserve"> </t>
    </r>
    <r>
      <rPr>
        <sz val="13.5"/>
        <rFont val="標楷體"/>
        <family val="4"/>
        <charset val="136"/>
      </rPr>
      <t>A3044工地混凝土試體之製作及養護法數量增加</t>
    </r>
    <phoneticPr fontId="5" type="noConversion"/>
  </si>
  <si>
    <r>
      <t>(二)</t>
    </r>
    <r>
      <rPr>
        <sz val="12"/>
        <rFont val="標楷體"/>
        <family val="4"/>
        <charset val="136"/>
      </rPr>
      <t xml:space="preserve"> </t>
    </r>
    <r>
      <rPr>
        <sz val="13.5"/>
        <rFont val="標楷體"/>
        <family val="4"/>
        <charset val="136"/>
      </rPr>
      <t>A3045混凝土圓柱試體抗壓強度之檢驗法數量增加</t>
    </r>
    <phoneticPr fontId="5" type="noConversion"/>
  </si>
  <si>
    <t>施工護欄及圍籬，全組隔式圍籬，(225cm*240cm槽型鋼板，
含基腳固定設施、警示燈、疑設)，連工帶料</t>
    <phoneticPr fontId="5" type="noConversion"/>
  </si>
  <si>
    <t>品質管理，試驗規範及標準，土木工程及建築類檢驗
，A3044工地混凝土試體之製作及養護法</t>
    <phoneticPr fontId="5" type="noConversion"/>
  </si>
  <si>
    <t>品質管理，試驗規範及標準，土木工程及建築類檢驗
，A3045混凝土圓柱試體抗壓強度之檢驗法</t>
    <phoneticPr fontId="5" type="noConversion"/>
  </si>
  <si>
    <t>品質管理，試驗規範及標準，土木工程及建築類檢驗
，A3051混凝土鑽心試體切割蓋平與試驗</t>
    <phoneticPr fontId="5" type="noConversion"/>
  </si>
  <si>
    <t>品質管理，試驗規範及標準，土木工程及建築類檢驗
，A3051混凝土鑽心試體取樣</t>
    <phoneticPr fontId="5" type="noConversion"/>
  </si>
  <si>
    <t>品質管理，品質管理費，土木工程及建築類檢驗
，A3346地工織物抗拉強度及伸長率試驗法（抓式法）</t>
    <phoneticPr fontId="5" type="noConversion"/>
  </si>
  <si>
    <t>品質管理，品質管理費，化學工業類檢驗，K6801塗料一般檢驗法
（有關塗膜之物理、化學抗性之試驗法）</t>
    <phoneticPr fontId="5" type="noConversion"/>
  </si>
  <si>
    <t>品質管理，試驗規範及標準，土木工程及建築類檢驗
，碎石級配壓實度試驗與厚度檢測</t>
    <phoneticPr fontId="5" type="noConversion"/>
  </si>
  <si>
    <t>品質管理，品質管理費，非鐵金屬冶煉類檢驗
，H2026鋁及鋁合金化學檢驗法</t>
    <phoneticPr fontId="5" type="noConversion"/>
  </si>
  <si>
    <t>品質管理，試驗規範及標準，土木工程及建築類檢驗
，碎石級配粒料篩分析試驗</t>
    <phoneticPr fontId="5" type="noConversion"/>
  </si>
  <si>
    <t>品質管理，試驗規範及標準，土木工程及建築類檢驗
，碎石級配工地密度試驗</t>
    <phoneticPr fontId="5" type="noConversion"/>
  </si>
  <si>
    <t>品質管理，品質管理費，土木工程及建築類檢驗
，A3337地工織物正向透水率試驗法</t>
    <phoneticPr fontId="5" type="noConversion"/>
  </si>
  <si>
    <t>品質管理，試驗規範及標準，土木工程及建築類檢驗
，高壓混凝土磚抗壓試驗</t>
    <phoneticPr fontId="5" type="noConversion"/>
  </si>
  <si>
    <t>喬木，楝樹，300 ≦ 樹高 &lt; 350㎝，120≦樹幅＜140cm，
9 ≦ 米高直徑 &lt; 10㎝</t>
    <phoneticPr fontId="5" type="noConversion"/>
  </si>
  <si>
    <t>喬木，朴樹，240 ≦ 樹高 &lt; 270㎝，90≦樹幅＜100cm，
5 ≦ 米高直徑 &lt; 6㎝</t>
    <phoneticPr fontId="5" type="noConversion"/>
  </si>
  <si>
    <t>結構用混凝土，預拌，140kgf/cm2</t>
    <phoneticPr fontId="10" type="noConversion"/>
  </si>
  <si>
    <t>結構用混凝土，預拌，
210kgf/cm2</t>
    <phoneticPr fontId="10" type="noConversion"/>
  </si>
  <si>
    <r>
      <rPr>
        <sz val="12"/>
        <color indexed="8"/>
        <rFont val="標楷體"/>
        <family val="4"/>
        <charset val="136"/>
      </rPr>
      <t>計</t>
    </r>
    <phoneticPr fontId="10" type="noConversion"/>
  </si>
  <si>
    <t>支</t>
    <phoneticPr fontId="10" type="noConversion"/>
  </si>
  <si>
    <t>座</t>
    <phoneticPr fontId="10" type="noConversion"/>
  </si>
  <si>
    <r>
      <rPr>
        <strike/>
        <sz val="14"/>
        <color indexed="8"/>
        <rFont val="標楷體"/>
        <family val="4"/>
        <charset val="136"/>
      </rPr>
      <t>計</t>
    </r>
    <phoneticPr fontId="10" type="noConversion"/>
  </si>
  <si>
    <t xml:space="preserve">台灣海桐，240≤樹高&lt;270cm,
90≤樹幅&lt;100cm,5≤米高直&lt;6cm </t>
    <phoneticPr fontId="10" type="noConversion"/>
  </si>
  <si>
    <t>喬木，朴樹，240 ≦ 樹高 &lt;
 270㎝，90≦樹幅＜100cm，5
 ≦ 米高直徑 &lt; 6㎝</t>
    <phoneticPr fontId="5" type="noConversion"/>
  </si>
  <si>
    <t xml:space="preserve">      承包商：基元營造有限公司</t>
    <phoneticPr fontId="13" type="noConversion"/>
  </si>
  <si>
    <t xml:space="preserve">      負責人：許俊益</t>
    <phoneticPr fontId="13" type="noConversion"/>
  </si>
  <si>
    <t xml:space="preserve">      地  址：彰化市聖安路344之2號1樓</t>
    <phoneticPr fontId="13" type="noConversion"/>
  </si>
  <si>
    <t>變更預算總額佔契約金額百分比=</t>
    <phoneticPr fontId="5" type="noConversion"/>
  </si>
  <si>
    <t>增減總額</t>
    <phoneticPr fontId="5" type="noConversion"/>
  </si>
  <si>
    <t>=</t>
    <phoneticPr fontId="5" type="noConversion"/>
  </si>
  <si>
    <t>總預算金額</t>
    <phoneticPr fontId="5" type="noConversion"/>
  </si>
  <si>
    <t>編製:                     校核:</t>
    <phoneticPr fontId="5" type="noConversion"/>
  </si>
  <si>
    <t>經濟部水利署第四河川局</t>
    <phoneticPr fontId="5" type="noConversion"/>
  </si>
  <si>
    <t>產品，選擇性回填材料，透水材料，碎石</t>
    <phoneticPr fontId="5" type="noConversion"/>
  </si>
  <si>
    <t>工作項目：混凝土附屬品，600mmRCP,B-3型管</t>
    <phoneticPr fontId="5" type="noConversion"/>
  </si>
  <si>
    <t>產品，抿石，1-1.5分天然石</t>
    <phoneticPr fontId="5" type="noConversion"/>
  </si>
  <si>
    <t>基礎鋁板T=5mm</t>
    <phoneticPr fontId="5" type="noConversion"/>
  </si>
  <si>
    <t>鋁管，鋁合金管上下橫桿50x50mm
，T=1.8mm</t>
    <phoneticPr fontId="5" type="noConversion"/>
  </si>
  <si>
    <t>開挖機，履帶式</t>
    <phoneticPr fontId="5" type="noConversion"/>
  </si>
  <si>
    <t>工作項目：擋土牆，造型牆面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</si>
</sst>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76" formatCode="#,##0.00_ "/>
    <numFmt numFmtId="177" formatCode="0.0_ "/>
    <numFmt numFmtId="178" formatCode="0.00_);[Red]\(0.00\)"/>
    <numFmt numFmtId="179" formatCode="General_)"/>
    <numFmt numFmtId="180" formatCode="0.00_)"/>
    <numFmt numFmtId="181" formatCode="\300"/>
    <numFmt numFmtId="182" formatCode="\300.00"/>
    <numFmt numFmtId="183" formatCode="[$-404]e&quot;年&quot;m&quot;月&quot;d&quot;日&quot;;@"/>
    <numFmt numFmtId="184" formatCode="0_ "/>
    <numFmt numFmtId="185" formatCode="#,##0_ "/>
    <numFmt numFmtId="186" formatCode="_-&quot;£&quot;* #,##0_-;\-&quot;£&quot;* #,##0_-;_-&quot;£&quot;* &quot;-&quot;_-;_-@_-"/>
    <numFmt numFmtId="187" formatCode="_-&quot;£&quot;* #,##0.00_-;\-&quot;£&quot;* #,##0.00_-;_-&quot;£&quot;* &quot;-&quot;??_-;_-@_-"/>
    <numFmt numFmtId="188" formatCode="_(&quot;$&quot;* #,##0_);_(&quot;$&quot;* \(#,##0\);_(&quot;$&quot;* &quot;-&quot;_);_(@_)"/>
    <numFmt numFmtId="189" formatCode="_-* #,##0_-;\-* #,##0_-;_-* &quot;-&quot;??_-;_-@_-"/>
    <numFmt numFmtId="190" formatCode="#,##0.00_);[Red]\(#,##0.00\)"/>
    <numFmt numFmtId="191" formatCode="_-* #,##0.0_-;\-* #,##0.0_-;_-* &quot;-&quot;?_-;_-@_-"/>
    <numFmt numFmtId="192" formatCode="_-* #,##0.00_-;\-* #,##0.00_-;_-* &quot;-&quot;?_-;_-@_-"/>
    <numFmt numFmtId="193" formatCode="_-* #,##0.00_-;\-* #,##0.00_-;_-* &quot; &quot;_-;_-@_-"/>
    <numFmt numFmtId="194" formatCode="#,##0_);[Red]\(#,##0\)"/>
    <numFmt numFmtId="195" formatCode="0.0"/>
    <numFmt numFmtId="196" formatCode="[$-404]e&quot;年&quot;m&quot;月&quot;"/>
    <numFmt numFmtId="197" formatCode="_-* #,##0.00_-;\-* #,##0.00_-;_-* &quot;-&quot;_-;_-@_-"/>
    <numFmt numFmtId="198" formatCode="#,##0.000"/>
    <numFmt numFmtId="199" formatCode="_-* #,##0.0000_-;\-* #,##0.0000_-;_-* &quot;-&quot;??_-;_-@_-"/>
    <numFmt numFmtId="200" formatCode="[DBNum2][$-404]General"/>
    <numFmt numFmtId="201" formatCode="_-* #,##0_-;\-* #,##0_-;_-* &quot;-&quot;?_-;_-@_-"/>
  </numFmts>
  <fonts count="105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Times New Roman"/>
      <family val="1"/>
    </font>
    <font>
      <sz val="12"/>
      <name val="Courier"/>
      <family val="3"/>
    </font>
    <font>
      <u/>
      <sz val="9"/>
      <color indexed="12"/>
      <name val="Times New Roman"/>
      <family val="1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20"/>
      <name val="標楷體"/>
      <family val="4"/>
      <charset val="136"/>
    </font>
    <font>
      <sz val="14"/>
      <name val="標楷體"/>
      <family val="4"/>
      <charset val="136"/>
    </font>
    <font>
      <sz val="10"/>
      <name val="Times New Roman"/>
      <family val="1"/>
    </font>
    <font>
      <sz val="9"/>
      <name val="標楷體"/>
      <family val="4"/>
      <charset val="136"/>
    </font>
    <font>
      <sz val="11"/>
      <name val="標楷體"/>
      <family val="4"/>
      <charset val="136"/>
    </font>
    <font>
      <sz val="7"/>
      <name val="標楷體"/>
      <family val="4"/>
      <charset val="136"/>
    </font>
    <font>
      <sz val="9"/>
      <name val="細明體"/>
      <family val="3"/>
      <charset val="136"/>
    </font>
    <font>
      <sz val="11"/>
      <name val="Times New Roman"/>
      <family val="1"/>
    </font>
    <font>
      <b/>
      <sz val="16"/>
      <name val="標楷體"/>
      <family val="4"/>
      <charset val="136"/>
    </font>
    <font>
      <sz val="12"/>
      <name val="新細明體"/>
      <family val="1"/>
      <charset val="136"/>
    </font>
    <font>
      <sz val="13"/>
      <name val="標楷體"/>
      <family val="4"/>
      <charset val="136"/>
    </font>
    <font>
      <sz val="9"/>
      <name val="CG Times (W1)"/>
      <family val="1"/>
    </font>
    <font>
      <b/>
      <i/>
      <sz val="16"/>
      <name val="Helv"/>
      <family val="2"/>
    </font>
    <font>
      <sz val="10"/>
      <name val="Arial"/>
      <family val="2"/>
    </font>
    <font>
      <sz val="14"/>
      <name val="細明體"/>
      <family val="3"/>
      <charset val="136"/>
    </font>
    <font>
      <sz val="12"/>
      <name val="華康中楷體"/>
      <family val="3"/>
      <charset val="136"/>
    </font>
    <font>
      <sz val="10"/>
      <name val="華康中楷體"/>
      <family val="3"/>
      <charset val="136"/>
    </font>
    <font>
      <sz val="10"/>
      <color indexed="12"/>
      <name val="華康中楷體"/>
      <family val="3"/>
      <charset val="136"/>
    </font>
    <font>
      <sz val="20"/>
      <name val="標楷體"/>
      <family val="4"/>
      <charset val="136"/>
    </font>
    <font>
      <sz val="16"/>
      <name val="標楷體"/>
      <family val="4"/>
      <charset val="136"/>
    </font>
    <font>
      <sz val="28"/>
      <name val="標楷體"/>
      <family val="4"/>
      <charset val="136"/>
    </font>
    <font>
      <sz val="24"/>
      <name val="標楷體"/>
      <family val="4"/>
      <charset val="136"/>
    </font>
    <font>
      <sz val="10"/>
      <name val="標楷體"/>
      <family val="4"/>
      <charset val="136"/>
    </font>
    <font>
      <b/>
      <sz val="10"/>
      <name val="標楷體"/>
      <family val="4"/>
      <charset val="136"/>
    </font>
    <font>
      <b/>
      <sz val="11"/>
      <name val="標楷體"/>
      <family val="4"/>
      <charset val="136"/>
    </font>
    <font>
      <sz val="12"/>
      <color indexed="8"/>
      <name val="標楷體"/>
      <family val="4"/>
      <charset val="136"/>
    </font>
    <font>
      <sz val="14"/>
      <name val="Times New Roman"/>
      <family val="1"/>
    </font>
    <font>
      <sz val="12"/>
      <name val="細明體"/>
      <family val="3"/>
      <charset val="136"/>
    </font>
    <font>
      <sz val="8"/>
      <name val="Arial"/>
      <family val="2"/>
    </font>
    <font>
      <b/>
      <sz val="12"/>
      <name val="Arial"/>
      <family val="2"/>
    </font>
    <font>
      <sz val="10"/>
      <name val="Geneva"/>
      <family val="2"/>
    </font>
    <font>
      <sz val="10"/>
      <name val="Helv"/>
      <family val="2"/>
    </font>
    <font>
      <sz val="12"/>
      <name val="細圓體"/>
      <family val="1"/>
      <charset val="136"/>
    </font>
    <font>
      <sz val="12"/>
      <name val="標楷體"/>
      <family val="4"/>
      <charset val="136"/>
    </font>
    <font>
      <sz val="18"/>
      <name val="標楷體"/>
      <family val="4"/>
      <charset val="136"/>
    </font>
    <font>
      <sz val="18"/>
      <name val="Times New Roman"/>
      <family val="1"/>
    </font>
    <font>
      <sz val="16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0"/>
      <color rgb="FFFF0000"/>
      <name val="標楷體"/>
      <family val="4"/>
      <charset val="136"/>
    </font>
    <font>
      <b/>
      <sz val="11"/>
      <color rgb="FFFF0000"/>
      <name val="標楷體"/>
      <family val="4"/>
      <charset val="136"/>
    </font>
    <font>
      <sz val="14"/>
      <color rgb="FFFF0000"/>
      <name val="標楷體"/>
      <family val="4"/>
      <charset val="136"/>
    </font>
    <font>
      <sz val="12"/>
      <color rgb="FFFF0000"/>
      <name val="標楷體"/>
      <family val="4"/>
      <charset val="136"/>
    </font>
    <font>
      <sz val="15"/>
      <name val="Times New Roman"/>
      <family val="1"/>
    </font>
    <font>
      <sz val="15"/>
      <name val="標楷體"/>
      <family val="4"/>
      <charset val="136"/>
    </font>
    <font>
      <sz val="15"/>
      <color indexed="10"/>
      <name val="Times New Roman"/>
      <family val="1"/>
    </font>
    <font>
      <sz val="15"/>
      <color indexed="8"/>
      <name val="標楷體"/>
      <family val="4"/>
      <charset val="136"/>
    </font>
    <font>
      <sz val="11"/>
      <color indexed="10"/>
      <name val="Times New Roman"/>
      <family val="1"/>
    </font>
    <font>
      <sz val="11"/>
      <color rgb="FFFF0000"/>
      <name val="Times New Roman"/>
      <family val="1"/>
    </font>
    <font>
      <sz val="11"/>
      <color indexed="10"/>
      <name val="標楷體"/>
      <family val="4"/>
      <charset val="136"/>
    </font>
    <font>
      <sz val="10"/>
      <color rgb="FFFF0000"/>
      <name val="Times New Roman"/>
      <family val="1"/>
    </font>
    <font>
      <sz val="12"/>
      <color indexed="10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0"/>
      <color indexed="10"/>
      <name val="Times New Roman"/>
      <family val="1"/>
    </font>
    <font>
      <sz val="10"/>
      <name val="細明體"/>
      <family val="3"/>
      <charset val="136"/>
    </font>
    <font>
      <b/>
      <sz val="12"/>
      <name val="Times New Roman"/>
      <family val="1"/>
    </font>
    <font>
      <sz val="14"/>
      <color rgb="FFFF0000"/>
      <name val="Times New Roman"/>
      <family val="1"/>
    </font>
    <font>
      <sz val="12"/>
      <color theme="1"/>
      <name val="標楷體"/>
      <family val="4"/>
      <charset val="136"/>
    </font>
    <font>
      <sz val="12"/>
      <color indexed="10"/>
      <name val="標楷體"/>
      <family val="4"/>
      <charset val="136"/>
    </font>
    <font>
      <b/>
      <sz val="11"/>
      <color theme="1"/>
      <name val="標楷體"/>
      <family val="4"/>
      <charset val="136"/>
    </font>
    <font>
      <sz val="10"/>
      <color indexed="10"/>
      <name val="標楷體"/>
      <family val="4"/>
      <charset val="136"/>
    </font>
    <font>
      <sz val="11"/>
      <color indexed="8"/>
      <name val="標楷體"/>
      <family val="4"/>
      <charset val="136"/>
    </font>
    <font>
      <sz val="10"/>
      <color theme="8" tint="-0.499984740745262"/>
      <name val="標楷體"/>
      <family val="4"/>
      <charset val="136"/>
    </font>
    <font>
      <sz val="10"/>
      <color theme="3"/>
      <name val="標楷體"/>
      <family val="4"/>
      <charset val="136"/>
    </font>
    <font>
      <sz val="12"/>
      <color theme="3"/>
      <name val="標楷體"/>
      <family val="4"/>
      <charset val="136"/>
    </font>
    <font>
      <sz val="10"/>
      <color theme="1"/>
      <name val="標楷體"/>
      <family val="4"/>
      <charset val="136"/>
    </font>
    <font>
      <strike/>
      <sz val="12"/>
      <color rgb="FFFF0000"/>
      <name val="標楷體"/>
      <family val="4"/>
      <charset val="136"/>
    </font>
    <font>
      <sz val="14"/>
      <name val="華康中圓體"/>
      <family val="3"/>
      <charset val="136"/>
    </font>
    <font>
      <sz val="14"/>
      <color theme="1"/>
      <name val="標楷體"/>
      <family val="4"/>
      <charset val="136"/>
    </font>
    <font>
      <sz val="10"/>
      <name val="全真楷書"/>
      <family val="3"/>
      <charset val="136"/>
    </font>
    <font>
      <sz val="6"/>
      <name val="標楷體"/>
      <family val="4"/>
      <charset val="136"/>
    </font>
    <font>
      <sz val="8"/>
      <name val="標楷體"/>
      <family val="4"/>
      <charset val="136"/>
    </font>
    <font>
      <sz val="14"/>
      <color theme="1"/>
      <name val="Times New Roman"/>
      <family val="1"/>
    </font>
    <font>
      <sz val="14"/>
      <color indexed="8"/>
      <name val="標楷體"/>
      <family val="4"/>
      <charset val="136"/>
    </font>
    <font>
      <b/>
      <sz val="10"/>
      <color theme="1"/>
      <name val="標楷體"/>
      <family val="4"/>
      <charset val="136"/>
    </font>
    <font>
      <sz val="12"/>
      <color indexed="8"/>
      <name val="Times New Roman"/>
      <family val="1"/>
    </font>
    <font>
      <sz val="14"/>
      <color indexed="8"/>
      <name val="Times New Roman"/>
      <family val="1"/>
    </font>
    <font>
      <sz val="12"/>
      <color theme="1"/>
      <name val="細明體"/>
      <family val="3"/>
      <charset val="136"/>
    </font>
    <font>
      <sz val="13.5"/>
      <name val="標楷體"/>
      <family val="4"/>
      <charset val="136"/>
    </font>
    <font>
      <sz val="13.5"/>
      <name val="Times New Roman"/>
      <family val="1"/>
    </font>
    <font>
      <b/>
      <sz val="14"/>
      <name val="標楷體"/>
      <family val="4"/>
      <charset val="136"/>
    </font>
    <font>
      <sz val="8"/>
      <color rgb="FFFF0000"/>
      <name val="標楷體"/>
      <family val="4"/>
      <charset val="136"/>
    </font>
    <font>
      <sz val="8"/>
      <color theme="1"/>
      <name val="標楷體"/>
      <family val="4"/>
      <charset val="136"/>
    </font>
    <font>
      <sz val="14"/>
      <name val="Cambria"/>
      <family val="1"/>
    </font>
    <font>
      <strike/>
      <sz val="12"/>
      <color theme="1"/>
      <name val="Times New Roman"/>
      <family val="1"/>
    </font>
    <font>
      <strike/>
      <sz val="12"/>
      <color theme="1"/>
      <name val="新細明體"/>
      <family val="1"/>
      <charset val="136"/>
    </font>
    <font>
      <strike/>
      <sz val="12"/>
      <color theme="1"/>
      <name val="標楷體"/>
      <family val="4"/>
      <charset val="136"/>
    </font>
    <font>
      <strike/>
      <sz val="10"/>
      <color theme="1"/>
      <name val="標楷體"/>
      <family val="4"/>
      <charset val="136"/>
    </font>
    <font>
      <strike/>
      <sz val="14"/>
      <color theme="1"/>
      <name val="Times New Roman"/>
      <family val="1"/>
    </font>
    <font>
      <b/>
      <strike/>
      <sz val="10"/>
      <color theme="1"/>
      <name val="標楷體"/>
      <family val="4"/>
      <charset val="136"/>
    </font>
    <font>
      <strike/>
      <sz val="12"/>
      <name val="Times New Roman"/>
      <family val="1"/>
    </font>
    <font>
      <b/>
      <sz val="12"/>
      <name val="Courier"/>
      <family val="3"/>
    </font>
    <font>
      <sz val="15"/>
      <name val="Courier"/>
      <family val="3"/>
    </font>
    <font>
      <b/>
      <sz val="15"/>
      <color indexed="10"/>
      <name val="標楷體"/>
      <family val="4"/>
      <charset val="136"/>
    </font>
    <font>
      <b/>
      <sz val="15"/>
      <color indexed="12"/>
      <name val="標楷體"/>
      <family val="4"/>
      <charset val="136"/>
    </font>
    <font>
      <b/>
      <u/>
      <sz val="16"/>
      <color indexed="12"/>
      <name val="標楷體"/>
      <family val="4"/>
      <charset val="136"/>
    </font>
    <font>
      <strike/>
      <sz val="14"/>
      <color theme="1"/>
      <name val="標楷體"/>
      <family val="4"/>
      <charset val="136"/>
    </font>
    <font>
      <strike/>
      <sz val="14"/>
      <color indexed="8"/>
      <name val="標楷體"/>
      <family val="4"/>
      <charset val="136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8">
    <xf numFmtId="0" fontId="0" fillId="0" borderId="0"/>
    <xf numFmtId="0" fontId="34" fillId="0" borderId="0"/>
    <xf numFmtId="38" fontId="14" fillId="0" borderId="0" applyBorder="0" applyAlignment="0"/>
    <xf numFmtId="38" fontId="35" fillId="2" borderId="0" applyNumberFormat="0" applyBorder="0" applyAlignment="0" applyProtection="0"/>
    <xf numFmtId="0" fontId="36" fillId="0" borderId="1" applyNumberFormat="0" applyAlignment="0" applyProtection="0">
      <alignment horizontal="left" vertical="center"/>
    </xf>
    <xf numFmtId="0" fontId="36" fillId="0" borderId="2">
      <alignment horizontal="left" vertical="center"/>
    </xf>
    <xf numFmtId="10" fontId="35" fillId="3" borderId="3" applyNumberFormat="0" applyBorder="0" applyAlignment="0" applyProtection="0"/>
    <xf numFmtId="179" fontId="3" fillId="4" borderId="3" applyNumberFormat="0" applyFont="0" applyFill="0" applyBorder="0">
      <alignment horizontal="center" vertical="center"/>
    </xf>
    <xf numFmtId="0" fontId="18" fillId="0" borderId="4" applyNumberFormat="0">
      <alignment horizontal="left" vertical="center"/>
    </xf>
    <xf numFmtId="180" fontId="19" fillId="0" borderId="0"/>
    <xf numFmtId="0" fontId="37" fillId="0" borderId="0"/>
    <xf numFmtId="10" fontId="20" fillId="0" borderId="0" applyFont="0" applyFill="0" applyBorder="0" applyAlignment="0" applyProtection="0"/>
    <xf numFmtId="0" fontId="20" fillId="5" borderId="0"/>
    <xf numFmtId="0" fontId="18" fillId="0" borderId="5">
      <alignment horizontal="left" vertical="center"/>
    </xf>
    <xf numFmtId="0" fontId="18" fillId="0" borderId="6" applyNumberFormat="0" applyFill="0" applyProtection="0">
      <alignment horizontal="left" vertical="center"/>
    </xf>
    <xf numFmtId="186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0" fontId="6" fillId="0" borderId="0"/>
    <xf numFmtId="0" fontId="20" fillId="0" borderId="0"/>
    <xf numFmtId="0" fontId="44" fillId="0" borderId="0">
      <alignment vertical="center"/>
    </xf>
    <xf numFmtId="0" fontId="21" fillId="6" borderId="0"/>
    <xf numFmtId="0" fontId="2" fillId="0" borderId="0"/>
    <xf numFmtId="182" fontId="22" fillId="0" borderId="0"/>
    <xf numFmtId="43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0" fontId="3" fillId="0" borderId="0"/>
    <xf numFmtId="179" fontId="6" fillId="0" borderId="0" applyNumberFormat="0" applyFont="0" applyFill="0" applyBorder="0" applyAlignment="0">
      <alignment horizontal="left"/>
    </xf>
    <xf numFmtId="179" fontId="11" fillId="0" borderId="7" applyNumberFormat="0" applyBorder="0" applyAlignment="0">
      <alignment horizontal="center"/>
    </xf>
    <xf numFmtId="179" fontId="10" fillId="0" borderId="0" applyNumberFormat="0" applyFont="0" applyFill="0" applyBorder="0" applyAlignment="0">
      <alignment horizontal="left"/>
    </xf>
    <xf numFmtId="181" fontId="23" fillId="0" borderId="8">
      <alignment vertical="center"/>
    </xf>
    <xf numFmtId="0" fontId="16" fillId="0" borderId="2">
      <alignment horizontal="center" vertical="center"/>
    </xf>
    <xf numFmtId="44" fontId="6" fillId="0" borderId="0" applyFont="0" applyFill="0" applyBorder="0" applyAlignment="0" applyProtection="0">
      <alignment vertical="center"/>
    </xf>
    <xf numFmtId="188" fontId="2" fillId="0" borderId="0" applyFont="0" applyFill="0" applyBorder="0" applyAlignment="0" applyProtection="0"/>
    <xf numFmtId="2" fontId="39" fillId="7" borderId="9" applyProtection="0">
      <alignment horizontal="left"/>
    </xf>
    <xf numFmtId="179" fontId="10" fillId="0" borderId="0" applyNumberFormat="0" applyFont="0" applyFill="0" applyBorder="0" applyAlignment="0">
      <alignment horizontal="left"/>
    </xf>
    <xf numFmtId="179" fontId="6" fillId="0" borderId="10" applyNumberFormat="0" applyFont="0" applyFill="0" applyBorder="0" applyAlignment="0">
      <alignment horizontal="left"/>
    </xf>
    <xf numFmtId="179" fontId="6" fillId="0" borderId="10" applyNumberFormat="0" applyFont="0" applyFill="0" applyBorder="0" applyAlignment="0"/>
    <xf numFmtId="0" fontId="40" fillId="0" borderId="0"/>
    <xf numFmtId="0" fontId="38" fillId="0" borderId="0"/>
    <xf numFmtId="0" fontId="22" fillId="0" borderId="11">
      <alignment horizontal="distributed" vertical="center" wrapText="1"/>
    </xf>
    <xf numFmtId="39" fontId="24" fillId="0" borderId="7">
      <alignment horizontal="right"/>
    </xf>
    <xf numFmtId="179" fontId="6" fillId="0" borderId="0"/>
    <xf numFmtId="179" fontId="12" fillId="0" borderId="0" applyNumberFormat="0" applyFont="0" applyFill="0" applyBorder="0" applyAlignment="0">
      <alignment horizontal="left" vertical="top" textRotation="255"/>
    </xf>
    <xf numFmtId="0" fontId="38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>
      <alignment textRotation="255"/>
    </xf>
    <xf numFmtId="0" fontId="3" fillId="0" borderId="0"/>
    <xf numFmtId="0" fontId="2" fillId="0" borderId="0" applyNumberFormat="0" applyFont="0" applyFill="0" applyBorder="0" applyAlignment="0" applyProtection="0">
      <alignment textRotation="255"/>
    </xf>
    <xf numFmtId="0" fontId="6" fillId="0" borderId="0"/>
    <xf numFmtId="43" fontId="6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>
      <alignment vertical="center"/>
    </xf>
  </cellStyleXfs>
  <cellXfs count="733">
    <xf numFmtId="0" fontId="0" fillId="0" borderId="0" xfId="0"/>
    <xf numFmtId="176" fontId="0" fillId="0" borderId="0" xfId="0" applyNumberFormat="1"/>
    <xf numFmtId="2" fontId="0" fillId="0" borderId="0" xfId="0" applyNumberFormat="1"/>
    <xf numFmtId="0" fontId="2" fillId="0" borderId="0" xfId="0" applyFont="1"/>
    <xf numFmtId="0" fontId="6" fillId="6" borderId="0" xfId="20" applyFont="1"/>
    <xf numFmtId="0" fontId="6" fillId="6" borderId="0" xfId="20" applyFont="1" applyBorder="1" applyAlignment="1"/>
    <xf numFmtId="0" fontId="25" fillId="6" borderId="0" xfId="20" applyFont="1" applyBorder="1" applyAlignment="1">
      <alignment horizontal="right" vertical="center" textRotation="255"/>
    </xf>
    <xf numFmtId="0" fontId="25" fillId="6" borderId="0" xfId="20" applyFont="1" applyBorder="1" applyAlignment="1">
      <alignment horizontal="center" vertical="center" textRotation="255"/>
    </xf>
    <xf numFmtId="0" fontId="8" fillId="6" borderId="0" xfId="20" applyFont="1" applyAlignment="1">
      <alignment vertical="distributed" textRotation="255"/>
    </xf>
    <xf numFmtId="0" fontId="6" fillId="6" borderId="0" xfId="20" applyFont="1" applyAlignment="1"/>
    <xf numFmtId="0" fontId="26" fillId="6" borderId="12" xfId="20" applyFont="1" applyBorder="1" applyAlignment="1">
      <alignment horizontal="center" vertical="center" textRotation="255" wrapText="1"/>
    </xf>
    <xf numFmtId="0" fontId="26" fillId="6" borderId="2" xfId="20" applyFont="1" applyBorder="1" applyAlignment="1">
      <alignment horizontal="center" vertical="center" textRotation="255"/>
    </xf>
    <xf numFmtId="0" fontId="26" fillId="6" borderId="2" xfId="20" applyFont="1" applyBorder="1" applyAlignment="1">
      <alignment horizontal="center" vertical="center" textRotation="255" wrapText="1"/>
    </xf>
    <xf numFmtId="0" fontId="26" fillId="6" borderId="2" xfId="20" applyFont="1" applyBorder="1" applyAlignment="1">
      <alignment horizontal="center" vertical="center"/>
    </xf>
    <xf numFmtId="0" fontId="26" fillId="6" borderId="13" xfId="20" applyFont="1" applyBorder="1" applyAlignment="1">
      <alignment horizontal="center" vertical="center"/>
    </xf>
    <xf numFmtId="0" fontId="26" fillId="6" borderId="12" xfId="20" applyFont="1" applyBorder="1" applyAlignment="1">
      <alignment horizontal="center" vertical="center" textRotation="255"/>
    </xf>
    <xf numFmtId="0" fontId="6" fillId="6" borderId="0" xfId="20" applyFont="1" applyBorder="1" applyAlignment="1">
      <alignment vertical="center" textRotation="255"/>
    </xf>
    <xf numFmtId="0" fontId="26" fillId="6" borderId="14" xfId="20" applyFont="1" applyBorder="1" applyAlignment="1">
      <alignment horizontal="center" vertical="center" textRotation="255"/>
    </xf>
    <xf numFmtId="0" fontId="26" fillId="6" borderId="15" xfId="20" applyFont="1" applyBorder="1" applyAlignment="1">
      <alignment horizontal="center" vertical="center" textRotation="255"/>
    </xf>
    <xf numFmtId="0" fontId="26" fillId="6" borderId="16" xfId="20" applyFont="1" applyBorder="1" applyAlignment="1">
      <alignment horizontal="center" vertical="center" textRotation="255"/>
    </xf>
    <xf numFmtId="0" fontId="6" fillId="6" borderId="0" xfId="20" applyFont="1" applyBorder="1" applyAlignment="1">
      <alignment vertical="distributed" textRotation="255"/>
    </xf>
    <xf numFmtId="0" fontId="6" fillId="6" borderId="0" xfId="20" applyFont="1" applyBorder="1"/>
    <xf numFmtId="0" fontId="31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/>
    </xf>
    <xf numFmtId="0" fontId="6" fillId="0" borderId="3" xfId="0" applyFont="1" applyFill="1" applyBorder="1" applyAlignment="1">
      <alignment vertical="center"/>
    </xf>
    <xf numFmtId="0" fontId="29" fillId="0" borderId="0" xfId="21" applyFont="1" applyFill="1" applyBorder="1" applyAlignment="1">
      <alignment horizontal="right" vertical="center" shrinkToFit="1"/>
    </xf>
    <xf numFmtId="0" fontId="31" fillId="0" borderId="3" xfId="0" applyNumberFormat="1" applyFont="1" applyFill="1" applyBorder="1" applyAlignment="1">
      <alignment horizontal="center" vertical="center"/>
    </xf>
    <xf numFmtId="0" fontId="31" fillId="0" borderId="3" xfId="21" applyFont="1" applyFill="1" applyBorder="1" applyAlignment="1">
      <alignment horizontal="left" vertical="center" shrinkToFit="1"/>
    </xf>
    <xf numFmtId="178" fontId="6" fillId="0" borderId="3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0" fillId="0" borderId="3" xfId="21" quotePrefix="1" applyFont="1" applyFill="1" applyBorder="1" applyAlignment="1">
      <alignment horizontal="center" vertical="center"/>
    </xf>
    <xf numFmtId="178" fontId="31" fillId="0" borderId="3" xfId="24" applyNumberFormat="1" applyFont="1" applyFill="1" applyBorder="1" applyAlignment="1" applyProtection="1">
      <alignment horizontal="center" vertical="center"/>
    </xf>
    <xf numFmtId="178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46" fillId="0" borderId="0" xfId="0" applyFont="1" applyFill="1" applyAlignment="1">
      <alignment vertical="center"/>
    </xf>
    <xf numFmtId="0" fontId="29" fillId="0" borderId="0" xfId="0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right" vertical="center"/>
    </xf>
    <xf numFmtId="0" fontId="31" fillId="0" borderId="0" xfId="0" applyFont="1" applyFill="1" applyBorder="1" applyAlignment="1">
      <alignment vertical="center"/>
    </xf>
    <xf numFmtId="0" fontId="48" fillId="0" borderId="0" xfId="0" applyFont="1" applyFill="1" applyAlignment="1">
      <alignment vertical="center"/>
    </xf>
    <xf numFmtId="0" fontId="31" fillId="9" borderId="0" xfId="0" applyFont="1" applyFill="1" applyAlignment="1">
      <alignment vertical="center"/>
    </xf>
    <xf numFmtId="0" fontId="6" fillId="9" borderId="0" xfId="0" applyFont="1" applyFill="1" applyAlignment="1">
      <alignment vertical="center"/>
    </xf>
    <xf numFmtId="0" fontId="31" fillId="0" borderId="0" xfId="0" applyFont="1" applyFill="1" applyAlignment="1">
      <alignment vertical="center" wrapText="1"/>
    </xf>
    <xf numFmtId="0" fontId="2" fillId="0" borderId="0" xfId="43" applyFont="1"/>
    <xf numFmtId="0" fontId="14" fillId="0" borderId="0" xfId="43" applyFont="1" applyAlignment="1">
      <alignment horizontal="centerContinuous" wrapText="1" shrinkToFit="1"/>
    </xf>
    <xf numFmtId="0" fontId="9" fillId="0" borderId="0" xfId="43" applyFont="1"/>
    <xf numFmtId="0" fontId="2" fillId="0" borderId="3" xfId="43" applyFont="1" applyBorder="1" applyAlignment="1">
      <alignment horizontal="center" vertical="center" wrapText="1" shrinkToFit="1"/>
    </xf>
    <xf numFmtId="0" fontId="2" fillId="0" borderId="3" xfId="43" applyFont="1" applyBorder="1" applyAlignment="1">
      <alignment horizontal="center" vertical="center"/>
    </xf>
    <xf numFmtId="0" fontId="2" fillId="0" borderId="3" xfId="43" applyFont="1" applyBorder="1" applyAlignment="1">
      <alignment horizontal="left" vertical="center" wrapText="1"/>
    </xf>
    <xf numFmtId="0" fontId="2" fillId="0" borderId="3" xfId="43" applyFont="1" applyBorder="1" applyAlignment="1">
      <alignment horizontal="center" vertical="center" wrapText="1"/>
    </xf>
    <xf numFmtId="185" fontId="2" fillId="0" borderId="3" xfId="43" applyNumberFormat="1" applyFont="1" applyBorder="1" applyAlignment="1">
      <alignment horizontal="right" vertical="center"/>
    </xf>
    <xf numFmtId="0" fontId="2" fillId="0" borderId="43" xfId="43" applyFont="1" applyBorder="1" applyAlignment="1">
      <alignment horizontal="left" vertical="center" wrapText="1"/>
    </xf>
    <xf numFmtId="0" fontId="2" fillId="0" borderId="0" xfId="43" applyFont="1" applyAlignment="1">
      <alignment horizontal="left" vertical="center" wrapText="1"/>
    </xf>
    <xf numFmtId="0" fontId="57" fillId="0" borderId="3" xfId="43" applyFont="1" applyBorder="1" applyAlignment="1">
      <alignment horizontal="left" vertical="center" wrapText="1"/>
    </xf>
    <xf numFmtId="0" fontId="14" fillId="0" borderId="44" xfId="43" applyFont="1" applyBorder="1" applyAlignment="1">
      <alignment horizontal="left" vertical="center"/>
    </xf>
    <xf numFmtId="0" fontId="6" fillId="0" borderId="3" xfId="43" applyFont="1" applyBorder="1" applyAlignment="1">
      <alignment horizontal="left" vertical="center" wrapText="1"/>
    </xf>
    <xf numFmtId="0" fontId="6" fillId="0" borderId="3" xfId="43" applyFont="1" applyBorder="1" applyAlignment="1">
      <alignment horizontal="center" vertical="center" wrapText="1"/>
    </xf>
    <xf numFmtId="191" fontId="2" fillId="0" borderId="3" xfId="38" applyNumberFormat="1" applyFont="1" applyBorder="1" applyAlignment="1">
      <alignment horizontal="right" vertical="center"/>
    </xf>
    <xf numFmtId="0" fontId="9" fillId="0" borderId="47" xfId="43" applyFont="1" applyBorder="1" applyAlignment="1">
      <alignment horizontal="center" vertical="center" shrinkToFit="1"/>
    </xf>
    <xf numFmtId="176" fontId="9" fillId="0" borderId="0" xfId="43" applyNumberFormat="1" applyFont="1"/>
    <xf numFmtId="43" fontId="9" fillId="0" borderId="0" xfId="43" applyNumberFormat="1" applyFont="1"/>
    <xf numFmtId="41" fontId="60" fillId="0" borderId="0" xfId="43" applyNumberFormat="1" applyFont="1"/>
    <xf numFmtId="185" fontId="9" fillId="0" borderId="0" xfId="43" applyNumberFormat="1" applyFont="1"/>
    <xf numFmtId="0" fontId="53" fillId="0" borderId="47" xfId="43" applyFont="1" applyBorder="1" applyAlignment="1">
      <alignment horizontal="center" vertical="center"/>
    </xf>
    <xf numFmtId="0" fontId="6" fillId="0" borderId="3" xfId="43" applyFont="1" applyBorder="1" applyAlignment="1">
      <alignment horizontal="center" vertical="center"/>
    </xf>
    <xf numFmtId="191" fontId="9" fillId="0" borderId="0" xfId="43" applyNumberFormat="1" applyFont="1"/>
    <xf numFmtId="9" fontId="14" fillId="0" borderId="47" xfId="43" applyNumberFormat="1" applyFont="1" applyBorder="1" applyAlignment="1">
      <alignment horizontal="center" vertical="center"/>
    </xf>
    <xf numFmtId="0" fontId="14" fillId="0" borderId="3" xfId="43" applyFont="1" applyBorder="1" applyAlignment="1">
      <alignment horizontal="left" vertical="center"/>
    </xf>
    <xf numFmtId="191" fontId="2" fillId="0" borderId="3" xfId="43" applyNumberFormat="1" applyFont="1" applyBorder="1" applyAlignment="1">
      <alignment horizontal="center" vertical="center" wrapText="1"/>
    </xf>
    <xf numFmtId="0" fontId="14" fillId="0" borderId="47" xfId="43" applyFont="1" applyBorder="1" applyAlignment="1">
      <alignment horizontal="center" vertical="center"/>
    </xf>
    <xf numFmtId="3" fontId="9" fillId="8" borderId="0" xfId="43" applyNumberFormat="1" applyFont="1" applyFill="1"/>
    <xf numFmtId="0" fontId="61" fillId="8" borderId="0" xfId="43" applyFont="1" applyFill="1"/>
    <xf numFmtId="0" fontId="9" fillId="8" borderId="0" xfId="43" applyFont="1" applyFill="1"/>
    <xf numFmtId="41" fontId="9" fillId="0" borderId="0" xfId="43" applyNumberFormat="1" applyFont="1"/>
    <xf numFmtId="193" fontId="9" fillId="0" borderId="0" xfId="43" applyNumberFormat="1" applyFont="1"/>
    <xf numFmtId="0" fontId="20" fillId="6" borderId="0" xfId="46" applyFill="1"/>
    <xf numFmtId="0" fontId="8" fillId="0" borderId="20" xfId="45" applyFont="1" applyBorder="1" applyAlignment="1">
      <alignment horizontal="center" vertical="center" wrapText="1"/>
    </xf>
    <xf numFmtId="49" fontId="17" fillId="0" borderId="19" xfId="45" applyNumberFormat="1" applyFont="1" applyBorder="1" applyAlignment="1">
      <alignment horizontal="left" vertical="center"/>
    </xf>
    <xf numFmtId="189" fontId="33" fillId="0" borderId="3" xfId="47" applyNumberFormat="1" applyFont="1" applyBorder="1" applyAlignment="1">
      <alignment horizontal="right" vertical="center" shrinkToFit="1"/>
    </xf>
    <xf numFmtId="189" fontId="63" fillId="0" borderId="3" xfId="47" applyNumberFormat="1" applyFont="1" applyBorder="1" applyAlignment="1">
      <alignment horizontal="right" vertical="center" shrinkToFit="1"/>
    </xf>
    <xf numFmtId="49" fontId="17" fillId="0" borderId="39" xfId="45" applyNumberFormat="1" applyFont="1" applyBorder="1" applyAlignment="1">
      <alignment horizontal="left" vertical="center"/>
    </xf>
    <xf numFmtId="189" fontId="33" fillId="0" borderId="14" xfId="47" applyNumberFormat="1" applyFont="1" applyBorder="1" applyAlignment="1">
      <alignment horizontal="right" vertical="center" shrinkToFit="1"/>
    </xf>
    <xf numFmtId="49" fontId="15" fillId="0" borderId="0" xfId="45" applyNumberFormat="1" applyFont="1" applyAlignment="1">
      <alignment horizontal="left" vertical="center"/>
    </xf>
    <xf numFmtId="194" fontId="33" fillId="0" borderId="0" xfId="47" applyNumberFormat="1" applyFont="1" applyAlignment="1">
      <alignment horizontal="right" vertical="center"/>
    </xf>
    <xf numFmtId="189" fontId="33" fillId="0" borderId="0" xfId="47" applyNumberFormat="1" applyFont="1" applyAlignment="1">
      <alignment horizontal="right" vertical="center"/>
    </xf>
    <xf numFmtId="0" fontId="15" fillId="0" borderId="38" xfId="45" applyFont="1" applyBorder="1" applyAlignment="1">
      <alignment horizontal="left" vertical="center"/>
    </xf>
    <xf numFmtId="0" fontId="43" fillId="0" borderId="38" xfId="45" applyFont="1" applyBorder="1" applyAlignment="1">
      <alignment horizontal="left"/>
    </xf>
    <xf numFmtId="0" fontId="2" fillId="0" borderId="0" xfId="45" applyFont="1" applyAlignment="1">
      <alignment vertical="top" textRotation="255"/>
    </xf>
    <xf numFmtId="0" fontId="2" fillId="0" borderId="0" xfId="45" applyFont="1" applyAlignment="1">
      <alignment horizontal="center" vertical="top" textRotation="255"/>
    </xf>
    <xf numFmtId="0" fontId="6" fillId="0" borderId="0" xfId="43" applyFont="1" applyAlignment="1">
      <alignment vertical="center"/>
    </xf>
    <xf numFmtId="0" fontId="6" fillId="0" borderId="0" xfId="43" applyFont="1" applyAlignment="1">
      <alignment horizontal="left" vertical="center"/>
    </xf>
    <xf numFmtId="0" fontId="6" fillId="0" borderId="0" xfId="43" applyFont="1" applyAlignment="1">
      <alignment horizontal="left" vertical="center" wrapText="1" shrinkToFit="1"/>
    </xf>
    <xf numFmtId="43" fontId="6" fillId="0" borderId="0" xfId="44" applyNumberFormat="1" applyFont="1" applyAlignment="1">
      <alignment horizontal="left" vertical="center" wrapText="1" shrinkToFit="1"/>
    </xf>
    <xf numFmtId="43" fontId="64" fillId="0" borderId="0" xfId="44" applyNumberFormat="1" applyFont="1" applyAlignment="1">
      <alignment horizontal="left" vertical="center" wrapText="1"/>
    </xf>
    <xf numFmtId="43" fontId="6" fillId="0" borderId="0" xfId="44" applyNumberFormat="1" applyFont="1" applyAlignment="1">
      <alignment horizontal="left" vertical="center" wrapText="1"/>
    </xf>
    <xf numFmtId="43" fontId="6" fillId="0" borderId="0" xfId="44" applyNumberFormat="1" applyFont="1" applyAlignment="1">
      <alignment horizontal="centerContinuous" vertical="center" wrapText="1" shrinkToFit="1"/>
    </xf>
    <xf numFmtId="49" fontId="6" fillId="0" borderId="3" xfId="43" applyNumberFormat="1" applyFont="1" applyBorder="1" applyAlignment="1">
      <alignment horizontal="center" vertical="center"/>
    </xf>
    <xf numFmtId="0" fontId="31" fillId="0" borderId="3" xfId="43" applyFont="1" applyBorder="1" applyAlignment="1">
      <alignment vertical="center"/>
    </xf>
    <xf numFmtId="43" fontId="29" fillId="0" borderId="3" xfId="44" applyNumberFormat="1" applyFont="1" applyBorder="1" applyAlignment="1">
      <alignment vertical="center"/>
    </xf>
    <xf numFmtId="43" fontId="66" fillId="0" borderId="3" xfId="44" applyNumberFormat="1" applyFont="1" applyBorder="1" applyAlignment="1">
      <alignment vertical="center"/>
    </xf>
    <xf numFmtId="43" fontId="46" fillId="0" borderId="3" xfId="44" applyNumberFormat="1" applyFont="1" applyBorder="1" applyAlignment="1">
      <alignment vertical="center"/>
    </xf>
    <xf numFmtId="191" fontId="6" fillId="0" borderId="3" xfId="44" applyNumberFormat="1" applyFont="1" applyBorder="1" applyAlignment="1">
      <alignment vertical="center"/>
    </xf>
    <xf numFmtId="43" fontId="31" fillId="0" borderId="3" xfId="44" applyNumberFormat="1" applyFont="1" applyBorder="1" applyAlignment="1">
      <alignment vertical="center"/>
    </xf>
    <xf numFmtId="4" fontId="29" fillId="0" borderId="3" xfId="43" applyNumberFormat="1" applyFont="1" applyBorder="1" applyAlignment="1">
      <alignment vertical="center"/>
    </xf>
    <xf numFmtId="0" fontId="29" fillId="0" borderId="0" xfId="43" applyFont="1" applyAlignment="1">
      <alignment vertical="center"/>
    </xf>
    <xf numFmtId="0" fontId="64" fillId="0" borderId="3" xfId="18" applyFont="1" applyBorder="1" applyAlignment="1">
      <alignment vertical="center" shrinkToFit="1"/>
    </xf>
    <xf numFmtId="0" fontId="64" fillId="0" borderId="3" xfId="21" applyFont="1" applyBorder="1" applyAlignment="1">
      <alignment horizontal="center" vertical="center"/>
    </xf>
    <xf numFmtId="192" fontId="64" fillId="0" borderId="3" xfId="44" applyNumberFormat="1" applyFont="1" applyBorder="1" applyAlignment="1">
      <alignment vertical="center"/>
    </xf>
    <xf numFmtId="191" fontId="48" fillId="0" borderId="3" xfId="44" applyNumberFormat="1" applyFont="1" applyBorder="1" applyAlignment="1">
      <alignment vertical="center"/>
    </xf>
    <xf numFmtId="192" fontId="48" fillId="0" borderId="3" xfId="44" applyNumberFormat="1" applyFont="1" applyBorder="1" applyAlignment="1">
      <alignment vertical="center"/>
    </xf>
    <xf numFmtId="4" fontId="45" fillId="0" borderId="3" xfId="43" applyNumberFormat="1" applyFont="1" applyBorder="1" applyAlignment="1">
      <alignment vertical="center"/>
    </xf>
    <xf numFmtId="0" fontId="45" fillId="0" borderId="0" xfId="43" applyFont="1" applyAlignment="1">
      <alignment vertical="center"/>
    </xf>
    <xf numFmtId="4" fontId="48" fillId="0" borderId="3" xfId="43" applyNumberFormat="1" applyFont="1" applyBorder="1" applyAlignment="1">
      <alignment horizontal="center" vertical="center"/>
    </xf>
    <xf numFmtId="0" fontId="67" fillId="0" borderId="3" xfId="43" applyFont="1" applyBorder="1" applyAlignment="1">
      <alignment horizontal="center" vertical="center"/>
    </xf>
    <xf numFmtId="0" fontId="29" fillId="0" borderId="3" xfId="43" applyFont="1" applyBorder="1" applyAlignment="1">
      <alignment horizontal="left" vertical="center"/>
    </xf>
    <xf numFmtId="0" fontId="29" fillId="0" borderId="3" xfId="43" applyFont="1" applyBorder="1" applyAlignment="1">
      <alignment horizontal="left" vertical="center" wrapText="1"/>
    </xf>
    <xf numFmtId="0" fontId="67" fillId="0" borderId="3" xfId="43" applyFont="1" applyBorder="1" applyAlignment="1">
      <alignment horizontal="center" vertical="center" wrapText="1"/>
    </xf>
    <xf numFmtId="0" fontId="29" fillId="0" borderId="0" xfId="38" applyFont="1" applyAlignment="1">
      <alignment vertical="center"/>
    </xf>
    <xf numFmtId="176" fontId="69" fillId="0" borderId="0" xfId="38" applyNumberFormat="1" applyFont="1" applyAlignment="1">
      <alignment vertical="center"/>
    </xf>
    <xf numFmtId="0" fontId="45" fillId="0" borderId="0" xfId="38" applyFont="1" applyAlignment="1">
      <alignment vertical="center"/>
    </xf>
    <xf numFmtId="184" fontId="29" fillId="0" borderId="0" xfId="38" applyNumberFormat="1" applyFont="1" applyAlignment="1">
      <alignment vertical="center"/>
    </xf>
    <xf numFmtId="191" fontId="29" fillId="0" borderId="0" xfId="38" applyNumberFormat="1" applyFont="1" applyAlignment="1">
      <alignment vertical="center"/>
    </xf>
    <xf numFmtId="0" fontId="29" fillId="0" borderId="3" xfId="38" applyFont="1" applyBorder="1" applyAlignment="1">
      <alignment horizontal="left" vertical="center" shrinkToFit="1"/>
    </xf>
    <xf numFmtId="40" fontId="6" fillId="0" borderId="3" xfId="21" applyNumberFormat="1" applyFont="1" applyBorder="1" applyAlignment="1">
      <alignment horizontal="center" vertical="center" shrinkToFit="1"/>
    </xf>
    <xf numFmtId="0" fontId="29" fillId="0" borderId="3" xfId="38" applyFont="1" applyBorder="1" applyAlignment="1">
      <alignment horizontal="center" vertical="center"/>
    </xf>
    <xf numFmtId="43" fontId="45" fillId="0" borderId="3" xfId="44" applyNumberFormat="1" applyFont="1" applyBorder="1" applyAlignment="1">
      <alignment vertical="center"/>
    </xf>
    <xf numFmtId="3" fontId="29" fillId="0" borderId="0" xfId="38" applyNumberFormat="1" applyFont="1" applyAlignment="1">
      <alignment vertical="center"/>
    </xf>
    <xf numFmtId="0" fontId="70" fillId="0" borderId="0" xfId="38" applyFont="1" applyAlignment="1">
      <alignment vertical="center"/>
    </xf>
    <xf numFmtId="0" fontId="71" fillId="0" borderId="18" xfId="43" applyFont="1" applyBorder="1" applyAlignment="1">
      <alignment horizontal="left" vertical="center"/>
    </xf>
    <xf numFmtId="0" fontId="70" fillId="0" borderId="3" xfId="38" applyFont="1" applyBorder="1" applyAlignment="1">
      <alignment horizontal="center" vertical="center"/>
    </xf>
    <xf numFmtId="191" fontId="71" fillId="0" borderId="3" xfId="44" applyNumberFormat="1" applyFont="1" applyBorder="1" applyAlignment="1">
      <alignment vertical="center"/>
    </xf>
    <xf numFmtId="43" fontId="70" fillId="0" borderId="3" xfId="44" applyNumberFormat="1" applyFont="1" applyBorder="1" applyAlignment="1">
      <alignment vertical="center"/>
    </xf>
    <xf numFmtId="3" fontId="45" fillId="0" borderId="0" xfId="38" applyNumberFormat="1" applyFont="1" applyAlignment="1">
      <alignment vertical="center"/>
    </xf>
    <xf numFmtId="49" fontId="71" fillId="0" borderId="3" xfId="18" applyNumberFormat="1" applyFont="1" applyBorder="1" applyAlignment="1">
      <alignment horizontal="center" vertical="center" shrinkToFit="1"/>
    </xf>
    <xf numFmtId="0" fontId="70" fillId="0" borderId="3" xfId="43" applyFont="1" applyBorder="1" applyAlignment="1">
      <alignment horizontal="center" vertical="center"/>
    </xf>
    <xf numFmtId="0" fontId="70" fillId="8" borderId="0" xfId="38" applyFont="1" applyFill="1" applyAlignment="1">
      <alignment vertical="center"/>
    </xf>
    <xf numFmtId="0" fontId="70" fillId="8" borderId="3" xfId="38" applyFont="1" applyFill="1" applyBorder="1" applyAlignment="1">
      <alignment horizontal="left" vertical="center"/>
    </xf>
    <xf numFmtId="0" fontId="70" fillId="0" borderId="3" xfId="38" applyFont="1" applyBorder="1" applyAlignment="1">
      <alignment horizontal="left" vertical="center" shrinkToFit="1"/>
    </xf>
    <xf numFmtId="0" fontId="70" fillId="8" borderId="0" xfId="38" applyFont="1" applyFill="1" applyAlignment="1">
      <alignment horizontal="left" vertical="center"/>
    </xf>
    <xf numFmtId="0" fontId="71" fillId="0" borderId="3" xfId="21" applyFont="1" applyBorder="1" applyAlignment="1">
      <alignment horizontal="center" vertical="center" shrinkToFit="1"/>
    </xf>
    <xf numFmtId="0" fontId="70" fillId="0" borderId="3" xfId="38" applyFont="1" applyBorder="1" applyAlignment="1">
      <alignment horizontal="left" vertical="center"/>
    </xf>
    <xf numFmtId="191" fontId="70" fillId="8" borderId="0" xfId="38" applyNumberFormat="1" applyFont="1" applyFill="1" applyAlignment="1">
      <alignment vertical="center"/>
    </xf>
    <xf numFmtId="43" fontId="29" fillId="0" borderId="0" xfId="44" applyNumberFormat="1" applyFont="1" applyAlignment="1">
      <alignment vertical="center"/>
    </xf>
    <xf numFmtId="43" fontId="72" fillId="0" borderId="0" xfId="44" applyNumberFormat="1" applyFont="1" applyAlignment="1">
      <alignment vertical="center"/>
    </xf>
    <xf numFmtId="176" fontId="69" fillId="0" borderId="0" xfId="44" applyNumberFormat="1" applyFont="1" applyAlignment="1">
      <alignment vertical="center"/>
    </xf>
    <xf numFmtId="43" fontId="6" fillId="0" borderId="0" xfId="44" applyNumberFormat="1" applyFont="1" applyAlignment="1">
      <alignment vertical="center"/>
    </xf>
    <xf numFmtId="43" fontId="64" fillId="0" borderId="0" xfId="44" applyNumberFormat="1" applyFont="1" applyAlignment="1">
      <alignment vertical="center"/>
    </xf>
    <xf numFmtId="0" fontId="6" fillId="0" borderId="3" xfId="43" applyFont="1" applyBorder="1" applyAlignment="1">
      <alignment horizontal="left" vertical="center"/>
    </xf>
    <xf numFmtId="0" fontId="48" fillId="0" borderId="3" xfId="18" applyFont="1" applyBorder="1" applyAlignment="1">
      <alignment vertical="center" shrinkToFit="1"/>
    </xf>
    <xf numFmtId="0" fontId="68" fillId="0" borderId="3" xfId="48" applyFont="1" applyBorder="1" applyAlignment="1">
      <alignment horizontal="center" vertical="center"/>
    </xf>
    <xf numFmtId="0" fontId="61" fillId="0" borderId="0" xfId="43" applyFont="1"/>
    <xf numFmtId="189" fontId="63" fillId="0" borderId="29" xfId="47" applyNumberFormat="1" applyFont="1" applyBorder="1" applyAlignment="1">
      <alignment horizontal="right" vertical="center" shrinkToFit="1"/>
    </xf>
    <xf numFmtId="189" fontId="20" fillId="6" borderId="0" xfId="46" applyNumberFormat="1" applyFill="1"/>
    <xf numFmtId="191" fontId="29" fillId="0" borderId="0" xfId="43" applyNumberFormat="1" applyFont="1" applyAlignment="1">
      <alignment vertical="center"/>
    </xf>
    <xf numFmtId="0" fontId="8" fillId="0" borderId="0" xfId="49" applyFont="1" applyAlignment="1">
      <alignment vertical="center"/>
    </xf>
    <xf numFmtId="0" fontId="6" fillId="0" borderId="0" xfId="49" applyFont="1" applyAlignment="1">
      <alignment vertical="center"/>
    </xf>
    <xf numFmtId="0" fontId="26" fillId="0" borderId="0" xfId="49" applyFont="1" applyAlignment="1">
      <alignment vertical="center"/>
    </xf>
    <xf numFmtId="0" fontId="8" fillId="0" borderId="0" xfId="49" applyFont="1" applyAlignment="1">
      <alignment vertical="top"/>
    </xf>
    <xf numFmtId="0" fontId="8" fillId="0" borderId="0" xfId="49" applyFont="1" applyAlignment="1">
      <alignment horizontal="right" vertical="center"/>
    </xf>
    <xf numFmtId="0" fontId="8" fillId="0" borderId="0" xfId="49" applyFont="1" applyAlignment="1">
      <alignment horizontal="center" vertical="center"/>
    </xf>
    <xf numFmtId="49" fontId="8" fillId="0" borderId="0" xfId="49" applyNumberFormat="1" applyFont="1" applyAlignment="1">
      <alignment horizontal="right" vertical="center"/>
    </xf>
    <xf numFmtId="4" fontId="8" fillId="0" borderId="0" xfId="49" applyNumberFormat="1" applyFont="1" applyAlignment="1">
      <alignment horizontal="left" vertical="center" shrinkToFit="1"/>
    </xf>
    <xf numFmtId="4" fontId="8" fillId="0" borderId="0" xfId="49" applyNumberFormat="1" applyFont="1" applyAlignment="1">
      <alignment horizontal="right" vertical="center"/>
    </xf>
    <xf numFmtId="0" fontId="8" fillId="0" borderId="0" xfId="49" applyFont="1" applyAlignment="1">
      <alignment vertical="center" wrapText="1"/>
    </xf>
    <xf numFmtId="0" fontId="47" fillId="0" borderId="0" xfId="49" applyFont="1" applyFill="1" applyAlignment="1">
      <alignment horizontal="center" vertical="center" wrapText="1"/>
    </xf>
    <xf numFmtId="0" fontId="8" fillId="0" borderId="0" xfId="49" applyFont="1" applyFill="1" applyAlignment="1">
      <alignment vertical="center" wrapText="1"/>
    </xf>
    <xf numFmtId="0" fontId="8" fillId="0" borderId="0" xfId="49" applyFont="1" applyFill="1" applyAlignment="1">
      <alignment vertical="center" shrinkToFit="1"/>
    </xf>
    <xf numFmtId="0" fontId="8" fillId="0" borderId="0" xfId="49" applyFont="1" applyAlignment="1">
      <alignment horizontal="left" vertical="center"/>
    </xf>
    <xf numFmtId="0" fontId="34" fillId="0" borderId="0" xfId="0" applyFont="1"/>
    <xf numFmtId="3" fontId="0" fillId="0" borderId="0" xfId="0" applyNumberFormat="1"/>
    <xf numFmtId="0" fontId="0" fillId="0" borderId="0" xfId="0" applyFont="1"/>
    <xf numFmtId="0" fontId="6" fillId="0" borderId="0" xfId="51" applyFont="1">
      <alignment textRotation="255"/>
    </xf>
    <xf numFmtId="0" fontId="6" fillId="0" borderId="0" xfId="51" quotePrefix="1" applyFont="1" applyAlignment="1">
      <alignment horizontal="left" vertical="center"/>
    </xf>
    <xf numFmtId="0" fontId="17" fillId="0" borderId="0" xfId="50" applyFont="1" applyAlignment="1" applyProtection="1">
      <alignment horizontal="left" vertical="center"/>
    </xf>
    <xf numFmtId="0" fontId="6" fillId="0" borderId="0" xfId="50" applyFont="1" applyProtection="1">
      <protection locked="0"/>
    </xf>
    <xf numFmtId="0" fontId="6" fillId="0" borderId="0" xfId="52" applyFont="1" applyProtection="1">
      <protection locked="0"/>
    </xf>
    <xf numFmtId="0" fontId="6" fillId="0" borderId="0" xfId="51" quotePrefix="1" applyFont="1" applyAlignment="1">
      <alignment horizontal="right"/>
    </xf>
    <xf numFmtId="0" fontId="6" fillId="0" borderId="0" xfId="51" applyFont="1" applyAlignment="1">
      <alignment horizontal="left" vertical="center"/>
    </xf>
    <xf numFmtId="0" fontId="6" fillId="0" borderId="12" xfId="51" applyFont="1" applyBorder="1" applyAlignment="1">
      <alignment horizontal="left" vertical="center"/>
    </xf>
    <xf numFmtId="0" fontId="77" fillId="0" borderId="2" xfId="51" applyFont="1" applyBorder="1" applyAlignment="1">
      <alignment horizontal="distributed" vertical="center" wrapText="1"/>
    </xf>
    <xf numFmtId="0" fontId="6" fillId="0" borderId="2" xfId="51" applyFont="1" applyBorder="1">
      <alignment textRotation="255"/>
    </xf>
    <xf numFmtId="195" fontId="6" fillId="0" borderId="2" xfId="51" applyNumberFormat="1" applyFont="1" applyBorder="1">
      <alignment textRotation="255"/>
    </xf>
    <xf numFmtId="0" fontId="6" fillId="0" borderId="2" xfId="51" applyFont="1" applyBorder="1" applyAlignment="1"/>
    <xf numFmtId="0" fontId="6" fillId="0" borderId="20" xfId="51" applyFont="1" applyBorder="1">
      <alignment textRotation="255"/>
    </xf>
    <xf numFmtId="0" fontId="6" fillId="0" borderId="3" xfId="51" applyFont="1" applyBorder="1" applyAlignment="1">
      <alignment horizontal="distributed" vertical="center"/>
    </xf>
    <xf numFmtId="0" fontId="6" fillId="0" borderId="3" xfId="51" applyFont="1" applyBorder="1" applyAlignment="1">
      <alignment horizontal="distributed" vertical="center" wrapText="1"/>
    </xf>
    <xf numFmtId="195" fontId="6" fillId="0" borderId="3" xfId="51" applyNumberFormat="1" applyFont="1" applyBorder="1" applyAlignment="1">
      <alignment horizontal="distributed" vertical="center"/>
    </xf>
    <xf numFmtId="0" fontId="6" fillId="0" borderId="3" xfId="51" applyFont="1" applyBorder="1" applyAlignment="1">
      <alignment horizontal="center" vertical="center"/>
    </xf>
    <xf numFmtId="195" fontId="6" fillId="0" borderId="3" xfId="51" quotePrefix="1" applyNumberFormat="1" applyFont="1" applyBorder="1" applyAlignment="1">
      <alignment horizontal="left" vertical="center"/>
    </xf>
    <xf numFmtId="195" fontId="11" fillId="0" borderId="3" xfId="51" quotePrefix="1" applyNumberFormat="1" applyFont="1" applyBorder="1" applyAlignment="1">
      <alignment horizontal="left" vertical="center"/>
    </xf>
    <xf numFmtId="0" fontId="6" fillId="0" borderId="12" xfId="51" quotePrefix="1" applyFont="1" applyBorder="1" applyAlignment="1">
      <alignment horizontal="center"/>
    </xf>
    <xf numFmtId="0" fontId="77" fillId="0" borderId="2" xfId="51" applyFont="1" applyBorder="1" applyAlignment="1">
      <alignment horizontal="center" vertical="center" wrapText="1"/>
    </xf>
    <xf numFmtId="0" fontId="6" fillId="0" borderId="12" xfId="51" quotePrefix="1" applyFont="1" applyBorder="1" applyAlignment="1">
      <alignment vertical="center"/>
    </xf>
    <xf numFmtId="0" fontId="77" fillId="0" borderId="2" xfId="51" applyFont="1" applyBorder="1" applyAlignment="1">
      <alignment vertical="center" wrapText="1"/>
    </xf>
    <xf numFmtId="0" fontId="6" fillId="0" borderId="2" xfId="51" applyFont="1" applyBorder="1" applyAlignment="1">
      <alignment vertical="center" textRotation="255"/>
    </xf>
    <xf numFmtId="195" fontId="6" fillId="0" borderId="2" xfId="51" applyNumberFormat="1" applyFont="1" applyBorder="1" applyAlignment="1">
      <alignment vertical="center" textRotation="255"/>
    </xf>
    <xf numFmtId="0" fontId="6" fillId="0" borderId="2" xfId="51" applyFont="1" applyBorder="1" applyAlignment="1">
      <alignment vertical="center"/>
    </xf>
    <xf numFmtId="0" fontId="6" fillId="0" borderId="20" xfId="51" applyFont="1" applyBorder="1" applyAlignment="1">
      <alignment vertical="center" textRotation="255"/>
    </xf>
    <xf numFmtId="0" fontId="6" fillId="0" borderId="20" xfId="51" applyFont="1" applyBorder="1" applyAlignment="1">
      <alignment horizontal="distributed" vertical="center"/>
    </xf>
    <xf numFmtId="0" fontId="6" fillId="0" borderId="20" xfId="51" applyFont="1" applyBorder="1" applyAlignment="1">
      <alignment horizontal="center" vertical="center"/>
    </xf>
    <xf numFmtId="0" fontId="6" fillId="0" borderId="2" xfId="51" quotePrefix="1" applyFont="1" applyBorder="1" applyAlignment="1">
      <alignment vertical="center"/>
    </xf>
    <xf numFmtId="0" fontId="6" fillId="0" borderId="20" xfId="51" quotePrefix="1" applyFont="1" applyBorder="1" applyAlignment="1">
      <alignment vertical="center"/>
    </xf>
    <xf numFmtId="0" fontId="6" fillId="0" borderId="12" xfId="51" quotePrefix="1" applyFont="1" applyBorder="1" applyAlignment="1">
      <alignment horizontal="left" vertical="center"/>
    </xf>
    <xf numFmtId="0" fontId="6" fillId="0" borderId="12" xfId="51" applyFont="1" applyBorder="1" applyAlignment="1">
      <alignment horizontal="center" vertical="center"/>
    </xf>
    <xf numFmtId="0" fontId="6" fillId="0" borderId="0" xfId="51" applyFont="1" applyAlignment="1"/>
    <xf numFmtId="0" fontId="70" fillId="0" borderId="3" xfId="38" applyFont="1" applyBorder="1" applyAlignment="1">
      <alignment horizontal="center" vertical="center" shrinkToFit="1"/>
    </xf>
    <xf numFmtId="40" fontId="71" fillId="0" borderId="20" xfId="21" applyNumberFormat="1" applyFont="1" applyBorder="1" applyAlignment="1">
      <alignment horizontal="left" vertical="center" shrinkToFit="1"/>
    </xf>
    <xf numFmtId="49" fontId="48" fillId="0" borderId="3" xfId="43" applyNumberFormat="1" applyFont="1" applyBorder="1" applyAlignment="1">
      <alignment horizontal="center" vertical="center"/>
    </xf>
    <xf numFmtId="0" fontId="64" fillId="9" borderId="3" xfId="54" applyFont="1" applyFill="1" applyBorder="1" applyAlignment="1">
      <alignment horizontal="center" vertical="center"/>
    </xf>
    <xf numFmtId="0" fontId="58" fillId="9" borderId="3" xfId="54" applyFont="1" applyFill="1" applyBorder="1" applyAlignment="1">
      <alignment horizontal="center" vertical="center"/>
    </xf>
    <xf numFmtId="3" fontId="58" fillId="9" borderId="12" xfId="54" applyNumberFormat="1" applyFont="1" applyFill="1" applyBorder="1" applyAlignment="1">
      <alignment horizontal="left" vertical="center" wrapText="1"/>
    </xf>
    <xf numFmtId="43" fontId="58" fillId="9" borderId="3" xfId="55" applyNumberFormat="1" applyFont="1" applyFill="1" applyBorder="1" applyAlignment="1">
      <alignment horizontal="right" vertical="center"/>
    </xf>
    <xf numFmtId="0" fontId="72" fillId="9" borderId="3" xfId="54" applyFont="1" applyFill="1" applyBorder="1" applyAlignment="1">
      <alignment horizontal="center" vertical="center" shrinkToFit="1"/>
    </xf>
    <xf numFmtId="1" fontId="58" fillId="9" borderId="12" xfId="54" applyNumberFormat="1" applyFont="1" applyFill="1" applyBorder="1" applyAlignment="1">
      <alignment horizontal="left" vertical="center"/>
    </xf>
    <xf numFmtId="0" fontId="64" fillId="9" borderId="25" xfId="54" applyFont="1" applyFill="1" applyBorder="1" applyAlignment="1">
      <alignment horizontal="left" vertical="center" wrapText="1"/>
    </xf>
    <xf numFmtId="0" fontId="58" fillId="9" borderId="25" xfId="54" applyFont="1" applyFill="1" applyBorder="1" applyAlignment="1">
      <alignment horizontal="left" vertical="center"/>
    </xf>
    <xf numFmtId="0" fontId="58" fillId="9" borderId="12" xfId="54" applyFont="1" applyFill="1" applyBorder="1" applyAlignment="1">
      <alignment horizontal="left" vertical="center"/>
    </xf>
    <xf numFmtId="2" fontId="58" fillId="9" borderId="12" xfId="54" applyNumberFormat="1" applyFont="1" applyFill="1" applyBorder="1" applyAlignment="1">
      <alignment horizontal="left" vertical="center"/>
    </xf>
    <xf numFmtId="0" fontId="58" fillId="9" borderId="21" xfId="54" applyFont="1" applyFill="1" applyBorder="1" applyAlignment="1">
      <alignment horizontal="left" vertical="center"/>
    </xf>
    <xf numFmtId="0" fontId="79" fillId="9" borderId="12" xfId="54" applyFont="1" applyFill="1" applyBorder="1" applyAlignment="1">
      <alignment horizontal="right" vertical="center"/>
    </xf>
    <xf numFmtId="0" fontId="64" fillId="9" borderId="27" xfId="54" applyFont="1" applyFill="1" applyBorder="1" applyAlignment="1">
      <alignment horizontal="left" vertical="center"/>
    </xf>
    <xf numFmtId="1" fontId="58" fillId="9" borderId="12" xfId="54" applyNumberFormat="1" applyFont="1" applyFill="1" applyBorder="1" applyAlignment="1">
      <alignment horizontal="left" vertical="center" wrapText="1"/>
    </xf>
    <xf numFmtId="0" fontId="72" fillId="9" borderId="3" xfId="54" applyFont="1" applyFill="1" applyBorder="1" applyAlignment="1">
      <alignment horizontal="center" vertical="center" wrapText="1" shrinkToFit="1"/>
    </xf>
    <xf numFmtId="0" fontId="64" fillId="9" borderId="25" xfId="54" applyFont="1" applyFill="1" applyBorder="1" applyAlignment="1">
      <alignment horizontal="left" vertical="center"/>
    </xf>
    <xf numFmtId="0" fontId="58" fillId="9" borderId="3" xfId="54" applyFont="1" applyFill="1" applyBorder="1" applyAlignment="1">
      <alignment vertical="center"/>
    </xf>
    <xf numFmtId="0" fontId="58" fillId="9" borderId="12" xfId="54" applyFont="1" applyFill="1" applyBorder="1" applyAlignment="1">
      <alignment horizontal="left" vertical="center" wrapText="1"/>
    </xf>
    <xf numFmtId="0" fontId="58" fillId="9" borderId="25" xfId="54" applyFont="1" applyFill="1" applyBorder="1" applyAlignment="1">
      <alignment vertical="center" wrapText="1"/>
    </xf>
    <xf numFmtId="0" fontId="72" fillId="9" borderId="3" xfId="54" applyFont="1" applyFill="1" applyBorder="1" applyAlignment="1">
      <alignment vertical="center" shrinkToFit="1"/>
    </xf>
    <xf numFmtId="0" fontId="58" fillId="9" borderId="3" xfId="54" applyFont="1" applyFill="1" applyBorder="1" applyAlignment="1">
      <alignment horizontal="left" vertical="center"/>
    </xf>
    <xf numFmtId="0" fontId="64" fillId="9" borderId="27" xfId="54" applyFont="1" applyFill="1" applyBorder="1" applyAlignment="1">
      <alignment horizontal="left" vertical="center" wrapText="1"/>
    </xf>
    <xf numFmtId="0" fontId="58" fillId="9" borderId="25" xfId="54" applyFont="1" applyFill="1" applyBorder="1" applyAlignment="1">
      <alignment horizontal="left" vertical="center" wrapText="1"/>
    </xf>
    <xf numFmtId="0" fontId="58" fillId="9" borderId="21" xfId="54" applyFont="1" applyFill="1" applyBorder="1" applyAlignment="1">
      <alignment horizontal="left" vertical="center" wrapText="1"/>
    </xf>
    <xf numFmtId="0" fontId="64" fillId="9" borderId="3" xfId="54" applyFont="1" applyFill="1" applyBorder="1" applyAlignment="1">
      <alignment horizontal="left" vertical="center"/>
    </xf>
    <xf numFmtId="0" fontId="58" fillId="9" borderId="12" xfId="54" applyFont="1" applyFill="1" applyBorder="1" applyAlignment="1">
      <alignment horizontal="right" vertical="center"/>
    </xf>
    <xf numFmtId="0" fontId="81" fillId="9" borderId="3" xfId="54" applyFont="1" applyFill="1" applyBorder="1" applyAlignment="1">
      <alignment horizontal="center" vertical="center" shrinkToFit="1"/>
    </xf>
    <xf numFmtId="0" fontId="58" fillId="9" borderId="27" xfId="54" applyFont="1" applyFill="1" applyBorder="1" applyAlignment="1">
      <alignment horizontal="left" vertical="center"/>
    </xf>
    <xf numFmtId="0" fontId="84" fillId="9" borderId="21" xfId="54" applyFont="1" applyFill="1" applyBorder="1" applyAlignment="1">
      <alignment horizontal="left" vertical="center"/>
    </xf>
    <xf numFmtId="0" fontId="58" fillId="9" borderId="3" xfId="54" applyFont="1" applyFill="1" applyBorder="1" applyAlignment="1">
      <alignment horizontal="left" vertical="center" wrapText="1"/>
    </xf>
    <xf numFmtId="0" fontId="79" fillId="9" borderId="12" xfId="54" applyFont="1" applyFill="1" applyBorder="1" applyAlignment="1">
      <alignment horizontal="center" vertical="center"/>
    </xf>
    <xf numFmtId="0" fontId="79" fillId="9" borderId="10" xfId="54" applyFont="1" applyFill="1" applyBorder="1" applyAlignment="1">
      <alignment horizontal="left" vertical="center"/>
    </xf>
    <xf numFmtId="0" fontId="79" fillId="9" borderId="3" xfId="54" applyFont="1" applyFill="1" applyBorder="1" applyAlignment="1">
      <alignment horizontal="center" vertical="center"/>
    </xf>
    <xf numFmtId="0" fontId="58" fillId="9" borderId="27" xfId="54" applyFont="1" applyFill="1" applyBorder="1" applyAlignment="1">
      <alignment horizontal="left" vertical="center" wrapText="1"/>
    </xf>
    <xf numFmtId="0" fontId="79" fillId="9" borderId="10" xfId="54" applyFont="1" applyFill="1" applyBorder="1" applyAlignment="1">
      <alignment horizontal="center" vertical="center"/>
    </xf>
    <xf numFmtId="0" fontId="75" fillId="9" borderId="12" xfId="54" applyFont="1" applyFill="1" applyBorder="1" applyAlignment="1">
      <alignment horizontal="right" vertical="center"/>
    </xf>
    <xf numFmtId="0" fontId="6" fillId="9" borderId="27" xfId="54" applyFont="1" applyFill="1" applyBorder="1" applyAlignment="1">
      <alignment horizontal="left" vertical="center"/>
    </xf>
    <xf numFmtId="0" fontId="64" fillId="9" borderId="25" xfId="54" applyFont="1" applyFill="1" applyBorder="1" applyAlignment="1">
      <alignment horizontal="left" vertical="center"/>
    </xf>
    <xf numFmtId="0" fontId="80" fillId="9" borderId="12" xfId="54" applyFont="1" applyFill="1" applyBorder="1" applyAlignment="1">
      <alignment horizontal="right" vertical="center"/>
    </xf>
    <xf numFmtId="0" fontId="72" fillId="9" borderId="3" xfId="54" applyFont="1" applyFill="1" applyBorder="1" applyAlignment="1">
      <alignment horizontal="center" vertical="center" wrapText="1"/>
    </xf>
    <xf numFmtId="0" fontId="58" fillId="9" borderId="3" xfId="56" applyFont="1" applyFill="1" applyBorder="1" applyAlignment="1">
      <alignment horizontal="left" vertical="center"/>
    </xf>
    <xf numFmtId="0" fontId="58" fillId="9" borderId="3" xfId="56" applyFont="1" applyFill="1" applyBorder="1" applyAlignment="1">
      <alignment horizontal="center" vertical="center"/>
    </xf>
    <xf numFmtId="0" fontId="58" fillId="9" borderId="12" xfId="56" applyNumberFormat="1" applyFont="1" applyFill="1" applyBorder="1" applyAlignment="1">
      <alignment vertical="center"/>
    </xf>
    <xf numFmtId="177" fontId="58" fillId="9" borderId="3" xfId="56" applyNumberFormat="1" applyFont="1" applyFill="1" applyBorder="1" applyAlignment="1">
      <alignment horizontal="right" vertical="center"/>
    </xf>
    <xf numFmtId="0" fontId="72" fillId="9" borderId="3" xfId="56" applyFont="1" applyFill="1" applyBorder="1" applyAlignment="1">
      <alignment horizontal="center" vertical="center"/>
    </xf>
    <xf numFmtId="0" fontId="32" fillId="9" borderId="3" xfId="54" applyFont="1" applyFill="1" applyBorder="1" applyAlignment="1">
      <alignment horizontal="center" vertical="center"/>
    </xf>
    <xf numFmtId="0" fontId="6" fillId="0" borderId="0" xfId="45" applyFont="1"/>
    <xf numFmtId="0" fontId="8" fillId="0" borderId="0" xfId="0" applyFont="1"/>
    <xf numFmtId="0" fontId="17" fillId="0" borderId="3" xfId="0" applyFont="1" applyBorder="1" applyAlignment="1">
      <alignment horizontal="center" vertical="center" wrapText="1"/>
    </xf>
    <xf numFmtId="0" fontId="8" fillId="0" borderId="25" xfId="0" applyFont="1" applyBorder="1" applyAlignment="1">
      <alignment vertical="center" wrapText="1"/>
    </xf>
    <xf numFmtId="0" fontId="87" fillId="0" borderId="21" xfId="0" applyFont="1" applyBorder="1" applyAlignment="1">
      <alignment vertical="center" wrapText="1"/>
    </xf>
    <xf numFmtId="0" fontId="85" fillId="0" borderId="27" xfId="0" applyFont="1" applyBorder="1" applyAlignment="1">
      <alignment horizontal="left" vertical="center" wrapText="1" indent="2"/>
    </xf>
    <xf numFmtId="0" fontId="85" fillId="0" borderId="25" xfId="0" applyFont="1" applyBorder="1" applyAlignment="1">
      <alignment horizontal="left" vertical="center" wrapText="1" indent="2"/>
    </xf>
    <xf numFmtId="0" fontId="85" fillId="0" borderId="25" xfId="0" applyFont="1" applyBorder="1" applyAlignment="1">
      <alignment vertical="center" wrapText="1"/>
    </xf>
    <xf numFmtId="0" fontId="48" fillId="0" borderId="3" xfId="21" applyFont="1" applyBorder="1" applyAlignment="1">
      <alignment horizontal="center" vertical="center"/>
    </xf>
    <xf numFmtId="0" fontId="78" fillId="9" borderId="3" xfId="0" applyFont="1" applyFill="1" applyBorder="1" applyAlignment="1">
      <alignment horizontal="left" vertical="center" wrapText="1"/>
    </xf>
    <xf numFmtId="0" fontId="78" fillId="9" borderId="10" xfId="0" applyFont="1" applyFill="1" applyBorder="1" applyAlignment="1">
      <alignment horizontal="center" vertical="center"/>
    </xf>
    <xf numFmtId="0" fontId="78" fillId="9" borderId="53" xfId="0" applyFont="1" applyFill="1" applyBorder="1" applyAlignment="1">
      <alignment horizontal="center" vertical="center"/>
    </xf>
    <xf numFmtId="0" fontId="78" fillId="9" borderId="7" xfId="0" applyFont="1" applyFill="1" applyBorder="1" applyAlignment="1">
      <alignment horizontal="center" vertical="center"/>
    </xf>
    <xf numFmtId="0" fontId="78" fillId="9" borderId="28" xfId="0" applyFont="1" applyFill="1" applyBorder="1" applyAlignment="1">
      <alignment horizontal="center" vertical="center"/>
    </xf>
    <xf numFmtId="0" fontId="2" fillId="0" borderId="3" xfId="43" applyFont="1" applyBorder="1" applyAlignment="1">
      <alignment horizontal="center" vertical="center" wrapText="1"/>
    </xf>
    <xf numFmtId="0" fontId="6" fillId="0" borderId="0" xfId="45" applyFont="1" applyAlignment="1">
      <alignment vertical="top"/>
    </xf>
    <xf numFmtId="0" fontId="90" fillId="0" borderId="0" xfId="0" applyFont="1" applyAlignment="1">
      <alignment vertical="center"/>
    </xf>
    <xf numFmtId="0" fontId="6" fillId="0" borderId="0" xfId="45" applyFont="1" applyAlignment="1">
      <alignment vertical="center"/>
    </xf>
    <xf numFmtId="2" fontId="59" fillId="9" borderId="12" xfId="54" applyNumberFormat="1" applyFont="1" applyFill="1" applyBorder="1" applyAlignment="1">
      <alignment horizontal="left" vertical="center"/>
    </xf>
    <xf numFmtId="43" fontId="59" fillId="9" borderId="3" xfId="55" applyNumberFormat="1" applyFont="1" applyFill="1" applyBorder="1" applyAlignment="1">
      <alignment horizontal="right" vertical="center"/>
    </xf>
    <xf numFmtId="0" fontId="45" fillId="9" borderId="3" xfId="54" applyFont="1" applyFill="1" applyBorder="1" applyAlignment="1">
      <alignment horizontal="center" vertical="center" shrinkToFit="1"/>
    </xf>
    <xf numFmtId="43" fontId="91" fillId="9" borderId="3" xfId="55" applyNumberFormat="1" applyFont="1" applyFill="1" applyBorder="1" applyAlignment="1">
      <alignment horizontal="right" vertical="center"/>
    </xf>
    <xf numFmtId="0" fontId="92" fillId="9" borderId="3" xfId="54" applyFont="1" applyFill="1" applyBorder="1" applyAlignment="1">
      <alignment horizontal="center" vertical="center"/>
    </xf>
    <xf numFmtId="43" fontId="92" fillId="9" borderId="3" xfId="55" applyNumberFormat="1" applyFont="1" applyFill="1" applyBorder="1" applyAlignment="1">
      <alignment horizontal="right" vertical="center"/>
    </xf>
    <xf numFmtId="0" fontId="93" fillId="9" borderId="27" xfId="54" applyFont="1" applyFill="1" applyBorder="1" applyAlignment="1">
      <alignment horizontal="left" vertical="center"/>
    </xf>
    <xf numFmtId="0" fontId="94" fillId="9" borderId="3" xfId="54" applyFont="1" applyFill="1" applyBorder="1" applyAlignment="1">
      <alignment horizontal="center" vertical="center" shrinkToFit="1"/>
    </xf>
    <xf numFmtId="43" fontId="91" fillId="9" borderId="3" xfId="55" applyNumberFormat="1" applyFont="1" applyFill="1" applyBorder="1" applyAlignment="1">
      <alignment horizontal="left" vertical="center"/>
    </xf>
    <xf numFmtId="0" fontId="91" fillId="9" borderId="12" xfId="54" applyFont="1" applyFill="1" applyBorder="1" applyAlignment="1">
      <alignment horizontal="left" vertical="center"/>
    </xf>
    <xf numFmtId="0" fontId="59" fillId="9" borderId="12" xfId="54" applyFont="1" applyFill="1" applyBorder="1" applyAlignment="1">
      <alignment horizontal="left" vertical="center"/>
    </xf>
    <xf numFmtId="0" fontId="48" fillId="0" borderId="3" xfId="0" applyNumberFormat="1" applyFont="1" applyFill="1" applyBorder="1" applyAlignment="1">
      <alignment horizontal="left" vertical="center"/>
    </xf>
    <xf numFmtId="0" fontId="48" fillId="9" borderId="3" xfId="54" applyFont="1" applyFill="1" applyBorder="1" applyAlignment="1">
      <alignment horizontal="center" vertical="center"/>
    </xf>
    <xf numFmtId="0" fontId="63" fillId="9" borderId="12" xfId="54" applyFont="1" applyFill="1" applyBorder="1" applyAlignment="1">
      <alignment horizontal="right" vertical="center"/>
    </xf>
    <xf numFmtId="0" fontId="93" fillId="9" borderId="25" xfId="54" applyFont="1" applyFill="1" applyBorder="1" applyAlignment="1">
      <alignment horizontal="left" vertical="center" wrapText="1"/>
    </xf>
    <xf numFmtId="0" fontId="48" fillId="0" borderId="27" xfId="0" applyNumberFormat="1" applyFont="1" applyFill="1" applyBorder="1" applyAlignment="1">
      <alignment horizontal="left" vertical="center"/>
    </xf>
    <xf numFmtId="0" fontId="48" fillId="0" borderId="21" xfId="0" applyNumberFormat="1" applyFont="1" applyFill="1" applyBorder="1" applyAlignment="1">
      <alignment horizontal="left" vertical="center"/>
    </xf>
    <xf numFmtId="0" fontId="59" fillId="9" borderId="12" xfId="54" applyFont="1" applyFill="1" applyBorder="1" applyAlignment="1">
      <alignment horizontal="right" vertical="center"/>
    </xf>
    <xf numFmtId="0" fontId="93" fillId="9" borderId="27" xfId="54" applyFont="1" applyFill="1" applyBorder="1" applyAlignment="1">
      <alignment horizontal="left" vertical="center" wrapText="1"/>
    </xf>
    <xf numFmtId="0" fontId="92" fillId="9" borderId="27" xfId="54" applyFont="1" applyFill="1" applyBorder="1" applyAlignment="1">
      <alignment horizontal="left" vertical="center" wrapText="1"/>
    </xf>
    <xf numFmtId="0" fontId="95" fillId="9" borderId="12" xfId="54" applyFont="1" applyFill="1" applyBorder="1" applyAlignment="1">
      <alignment horizontal="left" vertical="center"/>
    </xf>
    <xf numFmtId="0" fontId="63" fillId="9" borderId="10" xfId="54" applyFont="1" applyFill="1" applyBorder="1" applyAlignment="1">
      <alignment horizontal="left" vertical="center"/>
    </xf>
    <xf numFmtId="0" fontId="59" fillId="9" borderId="12" xfId="54" applyFont="1" applyFill="1" applyBorder="1" applyAlignment="1">
      <alignment horizontal="left" vertical="center" wrapText="1"/>
    </xf>
    <xf numFmtId="0" fontId="58" fillId="9" borderId="27" xfId="54" applyFont="1" applyFill="1" applyBorder="1" applyAlignment="1">
      <alignment vertical="center"/>
    </xf>
    <xf numFmtId="0" fontId="58" fillId="9" borderId="25" xfId="54" applyFont="1" applyFill="1" applyBorder="1" applyAlignment="1">
      <alignment vertical="center"/>
    </xf>
    <xf numFmtId="0" fontId="58" fillId="9" borderId="21" xfId="54" applyFont="1" applyFill="1" applyBorder="1" applyAlignment="1">
      <alignment vertical="center"/>
    </xf>
    <xf numFmtId="0" fontId="96" fillId="9" borderId="3" xfId="54" applyFont="1" applyFill="1" applyBorder="1" applyAlignment="1">
      <alignment horizontal="center" vertical="center" shrinkToFit="1"/>
    </xf>
    <xf numFmtId="0" fontId="91" fillId="9" borderId="12" xfId="54" applyFont="1" applyFill="1" applyBorder="1" applyAlignment="1">
      <alignment horizontal="left" vertical="center" wrapText="1"/>
    </xf>
    <xf numFmtId="1" fontId="59" fillId="9" borderId="12" xfId="54" applyNumberFormat="1" applyFont="1" applyFill="1" applyBorder="1" applyAlignment="1">
      <alignment horizontal="left" vertical="center" wrapText="1"/>
    </xf>
    <xf numFmtId="199" fontId="29" fillId="0" borderId="0" xfId="44" applyNumberFormat="1" applyFont="1" applyAlignment="1">
      <alignment vertical="center"/>
    </xf>
    <xf numFmtId="0" fontId="14" fillId="0" borderId="54" xfId="43" applyFont="1" applyBorder="1" applyAlignment="1">
      <alignment horizontal="center" vertical="center"/>
    </xf>
    <xf numFmtId="49" fontId="17" fillId="0" borderId="55" xfId="45" applyNumberFormat="1" applyFont="1" applyBorder="1" applyAlignment="1">
      <alignment horizontal="left" vertical="center"/>
    </xf>
    <xf numFmtId="189" fontId="33" fillId="0" borderId="10" xfId="47" applyNumberFormat="1" applyFont="1" applyBorder="1" applyAlignment="1">
      <alignment horizontal="right" vertical="center" shrinkToFit="1"/>
    </xf>
    <xf numFmtId="189" fontId="79" fillId="0" borderId="3" xfId="47" applyNumberFormat="1" applyFont="1" applyBorder="1" applyAlignment="1">
      <alignment horizontal="right" vertical="center" shrinkToFit="1"/>
    </xf>
    <xf numFmtId="189" fontId="79" fillId="0" borderId="27" xfId="47" applyNumberFormat="1" applyFont="1" applyBorder="1" applyAlignment="1">
      <alignment horizontal="right" vertical="center" indent="1" shrinkToFit="1"/>
    </xf>
    <xf numFmtId="0" fontId="48" fillId="0" borderId="25" xfId="0" applyNumberFormat="1" applyFont="1" applyFill="1" applyBorder="1" applyAlignment="1">
      <alignment horizontal="left" vertical="center"/>
    </xf>
    <xf numFmtId="0" fontId="83" fillId="9" borderId="12" xfId="54" applyFont="1" applyFill="1" applyBorder="1" applyAlignment="1">
      <alignment horizontal="right" vertical="center"/>
    </xf>
    <xf numFmtId="43" fontId="97" fillId="9" borderId="3" xfId="55" applyNumberFormat="1" applyFont="1" applyFill="1" applyBorder="1" applyAlignment="1">
      <alignment horizontal="right" vertical="center"/>
    </xf>
    <xf numFmtId="0" fontId="64" fillId="9" borderId="25" xfId="54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4" fontId="45" fillId="0" borderId="0" xfId="24" applyNumberFormat="1" applyFont="1" applyFill="1" applyBorder="1" applyAlignment="1" applyProtection="1">
      <alignment horizontal="left" vertical="center" wrapText="1"/>
    </xf>
    <xf numFmtId="0" fontId="64" fillId="0" borderId="27" xfId="54" applyFont="1" applyFill="1" applyBorder="1" applyAlignment="1">
      <alignment horizontal="left" vertical="center" wrapText="1"/>
    </xf>
    <xf numFmtId="0" fontId="78" fillId="9" borderId="27" xfId="0" applyFont="1" applyFill="1" applyBorder="1" applyAlignment="1">
      <alignment horizontal="left" vertical="center" indent="1"/>
    </xf>
    <xf numFmtId="0" fontId="78" fillId="9" borderId="27" xfId="0" applyFont="1" applyFill="1" applyBorder="1" applyAlignment="1">
      <alignment horizontal="center" vertical="center"/>
    </xf>
    <xf numFmtId="198" fontId="78" fillId="9" borderId="27" xfId="0" applyNumberFormat="1" applyFont="1" applyFill="1" applyBorder="1" applyAlignment="1">
      <alignment horizontal="right" vertical="center" shrinkToFit="1"/>
    </xf>
    <xf numFmtId="4" fontId="78" fillId="9" borderId="27" xfId="0" applyNumberFormat="1" applyFont="1" applyFill="1" applyBorder="1" applyAlignment="1">
      <alignment horizontal="right" vertical="center" shrinkToFit="1"/>
    </xf>
    <xf numFmtId="197" fontId="78" fillId="9" borderId="27" xfId="0" applyNumberFormat="1" applyFont="1" applyFill="1" applyBorder="1" applyAlignment="1">
      <alignment horizontal="right" vertical="center" shrinkToFit="1"/>
    </xf>
    <xf numFmtId="0" fontId="88" fillId="9" borderId="27" xfId="0" applyFont="1" applyFill="1" applyBorder="1" applyAlignment="1">
      <alignment horizontal="left" vertical="center" indent="1"/>
    </xf>
    <xf numFmtId="198" fontId="88" fillId="9" borderId="27" xfId="0" applyNumberFormat="1" applyFont="1" applyFill="1" applyBorder="1" applyAlignment="1">
      <alignment horizontal="right" vertical="center" shrinkToFit="1"/>
    </xf>
    <xf numFmtId="4" fontId="88" fillId="9" borderId="27" xfId="0" applyNumberFormat="1" applyFont="1" applyFill="1" applyBorder="1" applyAlignment="1">
      <alignment horizontal="right" vertical="center" shrinkToFit="1"/>
    </xf>
    <xf numFmtId="0" fontId="17" fillId="0" borderId="3" xfId="0" applyFont="1" applyBorder="1" applyAlignment="1">
      <alignment vertical="center" wrapText="1"/>
    </xf>
    <xf numFmtId="0" fontId="17" fillId="0" borderId="12" xfId="0" applyFont="1" applyBorder="1" applyAlignment="1">
      <alignment vertical="center" wrapText="1"/>
    </xf>
    <xf numFmtId="0" fontId="85" fillId="0" borderId="12" xfId="0" applyFont="1" applyBorder="1" applyAlignment="1">
      <alignment vertical="center" wrapText="1"/>
    </xf>
    <xf numFmtId="0" fontId="17" fillId="0" borderId="3" xfId="0" applyFont="1" applyBorder="1" applyAlignment="1">
      <alignment horizontal="justify" vertical="center" wrapText="1"/>
    </xf>
    <xf numFmtId="0" fontId="85" fillId="0" borderId="3" xfId="0" applyFont="1" applyBorder="1" applyAlignment="1">
      <alignment vertical="center" wrapText="1"/>
    </xf>
    <xf numFmtId="43" fontId="6" fillId="0" borderId="3" xfId="44" applyNumberFormat="1" applyFont="1" applyBorder="1" applyAlignment="1">
      <alignment horizontal="center" vertical="center" wrapText="1" shrinkToFit="1"/>
    </xf>
    <xf numFmtId="0" fontId="8" fillId="0" borderId="3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6" fillId="0" borderId="0" xfId="0" applyFont="1" applyAlignment="1">
      <alignment vertical="center"/>
    </xf>
    <xf numFmtId="0" fontId="50" fillId="0" borderId="0" xfId="0" applyFont="1" applyAlignment="1">
      <alignment horizontal="left" vertical="center" wrapText="1"/>
    </xf>
    <xf numFmtId="0" fontId="99" fillId="0" borderId="0" xfId="0" applyFont="1" applyAlignment="1">
      <alignment horizontal="left" vertical="center" wrapText="1"/>
    </xf>
    <xf numFmtId="0" fontId="50" fillId="0" borderId="0" xfId="0" applyFont="1" applyAlignment="1">
      <alignment horizontal="right" vertical="center"/>
    </xf>
    <xf numFmtId="200" fontId="50" fillId="0" borderId="0" xfId="0" applyNumberFormat="1" applyFont="1" applyAlignment="1">
      <alignment vertical="center"/>
    </xf>
    <xf numFmtId="200" fontId="100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right" vertical="center"/>
    </xf>
    <xf numFmtId="200" fontId="102" fillId="0" borderId="0" xfId="0" applyNumberFormat="1" applyFont="1" applyAlignment="1">
      <alignment horizontal="center" vertical="center"/>
    </xf>
    <xf numFmtId="200" fontId="26" fillId="0" borderId="0" xfId="0" applyNumberFormat="1" applyFont="1" applyAlignment="1">
      <alignment vertical="center"/>
    </xf>
    <xf numFmtId="0" fontId="50" fillId="0" borderId="0" xfId="0" applyFont="1" applyAlignment="1">
      <alignment vertical="center"/>
    </xf>
    <xf numFmtId="0" fontId="48" fillId="9" borderId="3" xfId="18" applyFont="1" applyFill="1" applyBorder="1" applyAlignment="1">
      <alignment vertical="center" shrinkToFit="1"/>
    </xf>
    <xf numFmtId="0" fontId="48" fillId="9" borderId="3" xfId="21" applyFont="1" applyFill="1" applyBorder="1" applyAlignment="1">
      <alignment horizontal="center" vertical="center"/>
    </xf>
    <xf numFmtId="4" fontId="45" fillId="9" borderId="3" xfId="43" applyNumberFormat="1" applyFont="1" applyFill="1" applyBorder="1" applyAlignment="1">
      <alignment vertical="center"/>
    </xf>
    <xf numFmtId="0" fontId="8" fillId="0" borderId="27" xfId="0" applyFont="1" applyBorder="1" applyAlignment="1">
      <alignment vertical="center" wrapText="1"/>
    </xf>
    <xf numFmtId="0" fontId="85" fillId="0" borderId="27" xfId="0" applyFont="1" applyBorder="1" applyAlignment="1">
      <alignment vertical="center" wrapText="1"/>
    </xf>
    <xf numFmtId="201" fontId="59" fillId="0" borderId="45" xfId="43" applyNumberFormat="1" applyFont="1" applyBorder="1" applyAlignment="1">
      <alignment horizontal="right" vertical="center"/>
    </xf>
    <xf numFmtId="201" fontId="58" fillId="0" borderId="45" xfId="43" applyNumberFormat="1" applyFont="1" applyBorder="1" applyAlignment="1">
      <alignment horizontal="right" vertical="center"/>
    </xf>
    <xf numFmtId="201" fontId="59" fillId="0" borderId="46" xfId="43" applyNumberFormat="1" applyFont="1" applyBorder="1" applyAlignment="1">
      <alignment horizontal="right" vertical="center"/>
    </xf>
    <xf numFmtId="201" fontId="57" fillId="0" borderId="3" xfId="44" applyNumberFormat="1" applyFont="1" applyBorder="1" applyAlignment="1">
      <alignment vertical="center"/>
    </xf>
    <xf numFmtId="201" fontId="2" fillId="0" borderId="20" xfId="43" applyNumberFormat="1" applyFont="1" applyBorder="1" applyAlignment="1">
      <alignment horizontal="right" vertical="center"/>
    </xf>
    <xf numFmtId="201" fontId="57" fillId="0" borderId="3" xfId="43" applyNumberFormat="1" applyFont="1" applyBorder="1" applyAlignment="1">
      <alignment horizontal="right" vertical="center"/>
    </xf>
    <xf numFmtId="201" fontId="2" fillId="0" borderId="20" xfId="38" applyNumberFormat="1" applyFont="1" applyBorder="1" applyAlignment="1">
      <alignment vertical="center" shrinkToFit="1"/>
    </xf>
    <xf numFmtId="201" fontId="59" fillId="0" borderId="20" xfId="38" applyNumberFormat="1" applyFont="1" applyBorder="1" applyAlignment="1">
      <alignment vertical="center" shrinkToFit="1"/>
    </xf>
    <xf numFmtId="0" fontId="8" fillId="0" borderId="27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85" fillId="0" borderId="27" xfId="0" applyFont="1" applyBorder="1" applyAlignment="1">
      <alignment vertical="center" wrapText="1"/>
    </xf>
    <xf numFmtId="0" fontId="8" fillId="0" borderId="3" xfId="46" applyFont="1" applyBorder="1" applyAlignment="1">
      <alignment horizontal="center" vertical="center"/>
    </xf>
    <xf numFmtId="0" fontId="64" fillId="9" borderId="25" xfId="54" applyFont="1" applyFill="1" applyBorder="1" applyAlignment="1">
      <alignment horizontal="left" vertical="top"/>
    </xf>
    <xf numFmtId="0" fontId="6" fillId="9" borderId="25" xfId="54" applyFont="1" applyFill="1" applyBorder="1" applyAlignment="1">
      <alignment horizontal="left" vertical="top"/>
    </xf>
    <xf numFmtId="0" fontId="2" fillId="0" borderId="3" xfId="45" applyFont="1" applyBorder="1" applyAlignment="1">
      <alignment horizontal="center" vertical="center" wrapText="1"/>
    </xf>
    <xf numFmtId="0" fontId="6" fillId="0" borderId="3" xfId="45" applyFont="1" applyBorder="1" applyAlignment="1">
      <alignment horizontal="center" vertical="center" wrapText="1"/>
    </xf>
    <xf numFmtId="0" fontId="85" fillId="0" borderId="21" xfId="0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189" fontId="6" fillId="9" borderId="3" xfId="46" applyNumberFormat="1" applyFont="1" applyFill="1" applyBorder="1" applyAlignment="1">
      <alignment horizontal="center" vertical="center"/>
    </xf>
    <xf numFmtId="189" fontId="6" fillId="9" borderId="29" xfId="47" applyNumberFormat="1" applyFont="1" applyFill="1" applyBorder="1" applyAlignment="1">
      <alignment horizontal="right" vertical="center" shrinkToFit="1"/>
    </xf>
    <xf numFmtId="189" fontId="6" fillId="9" borderId="58" xfId="46" applyNumberFormat="1" applyFont="1" applyFill="1" applyBorder="1" applyAlignment="1">
      <alignment horizontal="center" vertical="center"/>
    </xf>
    <xf numFmtId="201" fontId="64" fillId="0" borderId="3" xfId="44" applyNumberFormat="1" applyFont="1" applyBorder="1" applyAlignment="1">
      <alignment vertical="center"/>
    </xf>
    <xf numFmtId="201" fontId="48" fillId="0" borderId="3" xfId="44" applyNumberFormat="1" applyFont="1" applyBorder="1" applyAlignment="1">
      <alignment vertical="center"/>
    </xf>
    <xf numFmtId="201" fontId="6" fillId="0" borderId="3" xfId="44" applyNumberFormat="1" applyFont="1" applyBorder="1" applyAlignment="1">
      <alignment vertical="center"/>
    </xf>
    <xf numFmtId="201" fontId="48" fillId="9" borderId="3" xfId="44" applyNumberFormat="1" applyFont="1" applyFill="1" applyBorder="1" applyAlignment="1">
      <alignment vertical="center"/>
    </xf>
    <xf numFmtId="201" fontId="64" fillId="9" borderId="3" xfId="44" applyNumberFormat="1" applyFont="1" applyFill="1" applyBorder="1" applyAlignment="1">
      <alignment vertical="center"/>
    </xf>
    <xf numFmtId="201" fontId="6" fillId="9" borderId="3" xfId="44" applyNumberFormat="1" applyFont="1" applyFill="1" applyBorder="1" applyAlignment="1">
      <alignment vertical="center"/>
    </xf>
    <xf numFmtId="201" fontId="71" fillId="0" borderId="3" xfId="44" applyNumberFormat="1" applyFont="1" applyBorder="1" applyAlignment="1">
      <alignment vertical="center"/>
    </xf>
    <xf numFmtId="189" fontId="48" fillId="0" borderId="3" xfId="44" applyNumberFormat="1" applyFont="1" applyBorder="1" applyAlignment="1">
      <alignment vertical="center"/>
    </xf>
    <xf numFmtId="189" fontId="6" fillId="0" borderId="3" xfId="44" applyNumberFormat="1" applyFont="1" applyBorder="1" applyAlignment="1">
      <alignment vertical="center"/>
    </xf>
    <xf numFmtId="189" fontId="73" fillId="0" borderId="3" xfId="44" applyNumberFormat="1" applyFont="1" applyBorder="1" applyAlignment="1">
      <alignment vertical="center"/>
    </xf>
    <xf numFmtId="189" fontId="64" fillId="0" borderId="3" xfId="44" applyNumberFormat="1" applyFont="1" applyBorder="1" applyAlignment="1">
      <alignment vertical="center"/>
    </xf>
    <xf numFmtId="189" fontId="48" fillId="9" borderId="3" xfId="44" applyNumberFormat="1" applyFont="1" applyFill="1" applyBorder="1" applyAlignment="1">
      <alignment vertical="center"/>
    </xf>
    <xf numFmtId="189" fontId="6" fillId="9" borderId="3" xfId="44" applyNumberFormat="1" applyFont="1" applyFill="1" applyBorder="1" applyAlignment="1">
      <alignment vertical="center"/>
    </xf>
    <xf numFmtId="189" fontId="48" fillId="0" borderId="3" xfId="44" applyNumberFormat="1" applyFont="1" applyFill="1" applyBorder="1" applyAlignment="1">
      <alignment vertical="center"/>
    </xf>
    <xf numFmtId="189" fontId="71" fillId="0" borderId="3" xfId="44" applyNumberFormat="1" applyFont="1" applyBorder="1" applyAlignment="1">
      <alignment vertical="center"/>
    </xf>
    <xf numFmtId="0" fontId="48" fillId="0" borderId="3" xfId="18" applyFont="1" applyBorder="1" applyAlignment="1">
      <alignment vertical="center" wrapText="1" shrinkToFit="1"/>
    </xf>
    <xf numFmtId="0" fontId="64" fillId="0" borderId="3" xfId="18" applyFont="1" applyBorder="1" applyAlignment="1">
      <alignment vertical="center" wrapText="1" shrinkToFit="1"/>
    </xf>
    <xf numFmtId="0" fontId="0" fillId="9" borderId="0" xfId="0" applyFill="1"/>
    <xf numFmtId="0" fontId="29" fillId="9" borderId="0" xfId="0" applyFont="1" applyFill="1" applyAlignment="1">
      <alignment horizontal="left" vertical="top" wrapText="1"/>
    </xf>
    <xf numFmtId="0" fontId="78" fillId="9" borderId="3" xfId="0" applyFont="1" applyFill="1" applyBorder="1" applyAlignment="1">
      <alignment horizontal="left" vertical="center" wrapText="1" indent="1"/>
    </xf>
    <xf numFmtId="49" fontId="89" fillId="9" borderId="27" xfId="0" applyNumberFormat="1" applyFont="1" applyFill="1" applyBorder="1" applyAlignment="1">
      <alignment horizontal="left" vertical="center"/>
    </xf>
    <xf numFmtId="0" fontId="78" fillId="9" borderId="27" xfId="0" applyFont="1" applyFill="1" applyBorder="1" applyAlignment="1">
      <alignment horizontal="left" vertical="center" wrapText="1" indent="1"/>
    </xf>
    <xf numFmtId="197" fontId="88" fillId="9" borderId="27" xfId="0" applyNumberFormat="1" applyFont="1" applyFill="1" applyBorder="1" applyAlignment="1">
      <alignment horizontal="right" vertical="center" shrinkToFit="1"/>
    </xf>
    <xf numFmtId="0" fontId="78" fillId="9" borderId="3" xfId="0" applyFont="1" applyFill="1" applyBorder="1" applyAlignment="1">
      <alignment horizontal="left" vertical="center"/>
    </xf>
    <xf numFmtId="0" fontId="78" fillId="9" borderId="53" xfId="0" applyFont="1" applyFill="1" applyBorder="1" applyAlignment="1">
      <alignment horizontal="left" vertical="center"/>
    </xf>
    <xf numFmtId="49" fontId="88" fillId="9" borderId="27" xfId="0" applyNumberFormat="1" applyFont="1" applyFill="1" applyBorder="1" applyAlignment="1">
      <alignment horizontal="left" vertical="center"/>
    </xf>
    <xf numFmtId="0" fontId="78" fillId="9" borderId="12" xfId="0" applyFont="1" applyFill="1" applyBorder="1" applyAlignment="1">
      <alignment horizontal="distributed" vertical="center" wrapText="1"/>
    </xf>
    <xf numFmtId="0" fontId="78" fillId="9" borderId="20" xfId="0" applyFont="1" applyFill="1" applyBorder="1" applyAlignment="1">
      <alignment horizontal="distributed" vertical="center" wrapText="1"/>
    </xf>
    <xf numFmtId="0" fontId="88" fillId="9" borderId="27" xfId="0" applyFont="1" applyFill="1" applyBorder="1" applyAlignment="1">
      <alignment horizontal="left" vertical="center" wrapText="1" indent="1"/>
    </xf>
    <xf numFmtId="0" fontId="78" fillId="9" borderId="0" xfId="0" applyFont="1" applyFill="1" applyBorder="1" applyAlignment="1">
      <alignment horizontal="left" vertical="center" wrapText="1"/>
    </xf>
    <xf numFmtId="0" fontId="88" fillId="9" borderId="27" xfId="0" applyFont="1" applyFill="1" applyBorder="1" applyAlignment="1">
      <alignment horizontal="center" vertical="center"/>
    </xf>
    <xf numFmtId="49" fontId="78" fillId="9" borderId="27" xfId="0" applyNumberFormat="1" applyFont="1" applyFill="1" applyBorder="1" applyAlignment="1">
      <alignment horizontal="left" vertical="center"/>
    </xf>
    <xf numFmtId="0" fontId="89" fillId="9" borderId="3" xfId="0" applyFont="1" applyFill="1" applyBorder="1" applyAlignment="1">
      <alignment horizontal="left" vertical="center" wrapText="1" indent="1"/>
    </xf>
    <xf numFmtId="0" fontId="78" fillId="9" borderId="12" xfId="0" applyFont="1" applyFill="1" applyBorder="1" applyAlignment="1">
      <alignment horizontal="left" vertical="center" wrapText="1"/>
    </xf>
    <xf numFmtId="0" fontId="78" fillId="9" borderId="20" xfId="0" applyFont="1" applyFill="1" applyBorder="1" applyAlignment="1">
      <alignment horizontal="left" vertical="center" wrapText="1"/>
    </xf>
    <xf numFmtId="0" fontId="78" fillId="9" borderId="12" xfId="0" applyFont="1" applyFill="1" applyBorder="1" applyAlignment="1">
      <alignment horizontal="center" vertical="center" wrapText="1"/>
    </xf>
    <xf numFmtId="0" fontId="78" fillId="9" borderId="20" xfId="0" applyFont="1" applyFill="1" applyBorder="1" applyAlignment="1">
      <alignment horizontal="center" vertical="center" wrapText="1"/>
    </xf>
    <xf numFmtId="41" fontId="78" fillId="9" borderId="27" xfId="0" applyNumberFormat="1" applyFont="1" applyFill="1" applyBorder="1" applyAlignment="1">
      <alignment horizontal="right" vertical="center" shrinkToFit="1"/>
    </xf>
    <xf numFmtId="41" fontId="78" fillId="9" borderId="21" xfId="0" applyNumberFormat="1" applyFont="1" applyFill="1" applyBorder="1" applyAlignment="1">
      <alignment horizontal="right" vertical="center" shrinkToFit="1"/>
    </xf>
    <xf numFmtId="0" fontId="58" fillId="9" borderId="21" xfId="54" applyFont="1" applyFill="1" applyBorder="1" applyAlignment="1">
      <alignment horizontal="center" vertical="center"/>
    </xf>
    <xf numFmtId="0" fontId="58" fillId="9" borderId="10" xfId="54" applyFont="1" applyFill="1" applyBorder="1" applyAlignment="1">
      <alignment horizontal="left" vertical="center"/>
    </xf>
    <xf numFmtId="0" fontId="59" fillId="9" borderId="10" xfId="54" applyFont="1" applyFill="1" applyBorder="1" applyAlignment="1">
      <alignment horizontal="left" vertical="center"/>
    </xf>
    <xf numFmtId="0" fontId="64" fillId="9" borderId="21" xfId="54" applyFont="1" applyFill="1" applyBorder="1" applyAlignment="1">
      <alignment horizontal="center" vertical="center"/>
    </xf>
    <xf numFmtId="0" fontId="79" fillId="9" borderId="10" xfId="54" applyFont="1" applyFill="1" applyBorder="1" applyAlignment="1">
      <alignment horizontal="right" vertical="center"/>
    </xf>
    <xf numFmtId="0" fontId="103" fillId="9" borderId="12" xfId="54" applyFont="1" applyFill="1" applyBorder="1" applyAlignment="1">
      <alignment horizontal="right" vertical="center"/>
    </xf>
    <xf numFmtId="0" fontId="72" fillId="9" borderId="0" xfId="54" applyFont="1" applyFill="1" applyAlignment="1">
      <alignment horizontal="center" vertical="center"/>
    </xf>
    <xf numFmtId="0" fontId="9" fillId="0" borderId="10" xfId="43" applyFont="1" applyBorder="1" applyAlignment="1">
      <alignment horizontal="left" wrapText="1"/>
    </xf>
    <xf numFmtId="41" fontId="9" fillId="0" borderId="61" xfId="43" applyNumberFormat="1" applyFont="1" applyBorder="1" applyAlignment="1">
      <alignment horizontal="left" wrapText="1"/>
    </xf>
    <xf numFmtId="0" fontId="9" fillId="0" borderId="53" xfId="43" applyFont="1" applyBorder="1"/>
    <xf numFmtId="0" fontId="2" fillId="0" borderId="7" xfId="43" applyFont="1" applyBorder="1"/>
    <xf numFmtId="0" fontId="2" fillId="0" borderId="26" xfId="43" applyFont="1" applyBorder="1"/>
    <xf numFmtId="0" fontId="2" fillId="0" borderId="28" xfId="43" applyFont="1" applyBorder="1"/>
    <xf numFmtId="0" fontId="9" fillId="0" borderId="61" xfId="43" applyFont="1" applyBorder="1"/>
    <xf numFmtId="0" fontId="11" fillId="0" borderId="0" xfId="43" applyFont="1"/>
    <xf numFmtId="0" fontId="78" fillId="9" borderId="53" xfId="0" applyFont="1" applyFill="1" applyBorder="1" applyAlignment="1">
      <alignment horizontal="center" vertical="center"/>
    </xf>
    <xf numFmtId="201" fontId="9" fillId="0" borderId="61" xfId="43" applyNumberFormat="1" applyFont="1" applyBorder="1" applyAlignment="1">
      <alignment horizontal="left" wrapText="1"/>
    </xf>
    <xf numFmtId="0" fontId="78" fillId="9" borderId="10" xfId="0" applyFont="1" applyFill="1" applyBorder="1" applyAlignment="1">
      <alignment horizontal="left" vertical="center" indent="1"/>
    </xf>
    <xf numFmtId="197" fontId="78" fillId="0" borderId="27" xfId="0" applyNumberFormat="1" applyFont="1" applyFill="1" applyBorder="1" applyAlignment="1">
      <alignment horizontal="right" vertical="center" shrinkToFit="1"/>
    </xf>
    <xf numFmtId="4" fontId="88" fillId="0" borderId="27" xfId="0" applyNumberFormat="1" applyFont="1" applyFill="1" applyBorder="1" applyAlignment="1">
      <alignment horizontal="right" vertical="center" shrinkToFit="1"/>
    </xf>
    <xf numFmtId="198" fontId="88" fillId="0" borderId="27" xfId="0" applyNumberFormat="1" applyFont="1" applyFill="1" applyBorder="1" applyAlignment="1">
      <alignment horizontal="right" vertical="center" shrinkToFit="1"/>
    </xf>
    <xf numFmtId="4" fontId="78" fillId="10" borderId="27" xfId="0" applyNumberFormat="1" applyFont="1" applyFill="1" applyBorder="1" applyAlignment="1">
      <alignment horizontal="right" vertical="center" shrinkToFit="1"/>
    </xf>
    <xf numFmtId="197" fontId="78" fillId="10" borderId="27" xfId="0" applyNumberFormat="1" applyFont="1" applyFill="1" applyBorder="1" applyAlignment="1">
      <alignment horizontal="right" vertical="center" shrinkToFit="1"/>
    </xf>
    <xf numFmtId="49" fontId="89" fillId="10" borderId="27" xfId="0" applyNumberFormat="1" applyFont="1" applyFill="1" applyBorder="1" applyAlignment="1">
      <alignment horizontal="left" vertical="center"/>
    </xf>
    <xf numFmtId="0" fontId="59" fillId="10" borderId="12" xfId="54" applyFont="1" applyFill="1" applyBorder="1" applyAlignment="1">
      <alignment horizontal="left" vertical="center"/>
    </xf>
    <xf numFmtId="43" fontId="59" fillId="10" borderId="3" xfId="55" applyNumberFormat="1" applyFont="1" applyFill="1" applyBorder="1" applyAlignment="1">
      <alignment horizontal="right" vertical="center"/>
    </xf>
    <xf numFmtId="0" fontId="63" fillId="10" borderId="12" xfId="54" applyFont="1" applyFill="1" applyBorder="1" applyAlignment="1">
      <alignment horizontal="right" vertical="center"/>
    </xf>
    <xf numFmtId="189" fontId="48" fillId="10" borderId="3" xfId="44" applyNumberFormat="1" applyFont="1" applyFill="1" applyBorder="1" applyAlignment="1">
      <alignment vertical="center"/>
    </xf>
    <xf numFmtId="0" fontId="27" fillId="6" borderId="31" xfId="20" applyFont="1" applyBorder="1" applyAlignment="1">
      <alignment horizontal="center" vertical="center"/>
    </xf>
    <xf numFmtId="0" fontId="27" fillId="6" borderId="32" xfId="20" applyFont="1" applyBorder="1" applyAlignment="1">
      <alignment horizontal="center" vertical="center"/>
    </xf>
    <xf numFmtId="0" fontId="27" fillId="6" borderId="33" xfId="20" applyFont="1" applyBorder="1" applyAlignment="1">
      <alignment horizontal="center" vertical="center"/>
    </xf>
    <xf numFmtId="0" fontId="28" fillId="6" borderId="34" xfId="20" applyFont="1" applyBorder="1" applyAlignment="1">
      <alignment horizontal="center" vertical="center"/>
    </xf>
    <xf numFmtId="0" fontId="28" fillId="6" borderId="35" xfId="20" applyFont="1" applyBorder="1" applyAlignment="1">
      <alignment horizontal="center" vertical="center"/>
    </xf>
    <xf numFmtId="0" fontId="28" fillId="6" borderId="30" xfId="20" applyFont="1" applyBorder="1" applyAlignment="1">
      <alignment horizontal="center" vertical="center"/>
    </xf>
    <xf numFmtId="0" fontId="26" fillId="6" borderId="17" xfId="20" applyFont="1" applyBorder="1" applyAlignment="1">
      <alignment horizontal="distributed" vertical="center"/>
    </xf>
    <xf numFmtId="0" fontId="26" fillId="6" borderId="11" xfId="20" applyFont="1" applyBorder="1" applyAlignment="1">
      <alignment horizontal="distributed" vertical="center"/>
    </xf>
    <xf numFmtId="0" fontId="8" fillId="6" borderId="40" xfId="20" applyFont="1" applyBorder="1" applyAlignment="1">
      <alignment horizontal="left" vertical="center" wrapText="1"/>
    </xf>
    <xf numFmtId="0" fontId="8" fillId="6" borderId="41" xfId="20" applyFont="1" applyBorder="1" applyAlignment="1">
      <alignment horizontal="left" vertical="center"/>
    </xf>
    <xf numFmtId="0" fontId="6" fillId="6" borderId="42" xfId="20" applyFont="1" applyBorder="1" applyAlignment="1">
      <alignment horizontal="left"/>
    </xf>
    <xf numFmtId="0" fontId="26" fillId="6" borderId="39" xfId="20" applyFont="1" applyBorder="1" applyAlignment="1">
      <alignment horizontal="distributed" vertical="center"/>
    </xf>
    <xf numFmtId="0" fontId="26" fillId="6" borderId="29" xfId="20" applyFont="1" applyBorder="1" applyAlignment="1">
      <alignment horizontal="distributed" vertical="center"/>
    </xf>
    <xf numFmtId="0" fontId="6" fillId="6" borderId="14" xfId="20" applyFont="1" applyBorder="1" applyAlignment="1">
      <alignment horizontal="center" vertical="center" wrapText="1"/>
    </xf>
    <xf numFmtId="0" fontId="6" fillId="6" borderId="15" xfId="20" applyFont="1" applyBorder="1" applyAlignment="1">
      <alignment horizontal="center" vertical="center" wrapText="1"/>
    </xf>
    <xf numFmtId="0" fontId="6" fillId="6" borderId="37" xfId="20" applyFont="1" applyBorder="1" applyAlignment="1">
      <alignment horizontal="center" vertical="center" wrapText="1"/>
    </xf>
    <xf numFmtId="0" fontId="26" fillId="6" borderId="14" xfId="20" applyFont="1" applyBorder="1" applyAlignment="1">
      <alignment horizontal="distributed" vertical="center"/>
    </xf>
    <xf numFmtId="0" fontId="26" fillId="6" borderId="15" xfId="20" applyFont="1" applyBorder="1" applyAlignment="1">
      <alignment horizontal="distributed" vertical="center"/>
    </xf>
    <xf numFmtId="0" fontId="26" fillId="6" borderId="37" xfId="20" applyFont="1" applyBorder="1" applyAlignment="1">
      <alignment vertical="center"/>
    </xf>
    <xf numFmtId="183" fontId="8" fillId="6" borderId="14" xfId="20" applyNumberFormat="1" applyFont="1" applyBorder="1" applyAlignment="1">
      <alignment horizontal="center" vertical="center"/>
    </xf>
    <xf numFmtId="183" fontId="6" fillId="6" borderId="15" xfId="20" applyNumberFormat="1" applyFont="1" applyBorder="1" applyAlignment="1">
      <alignment horizontal="center" vertical="center"/>
    </xf>
    <xf numFmtId="183" fontId="6" fillId="6" borderId="16" xfId="20" applyNumberFormat="1" applyFont="1" applyBorder="1" applyAlignment="1"/>
    <xf numFmtId="0" fontId="26" fillId="6" borderId="19" xfId="20" applyFont="1" applyBorder="1" applyAlignment="1">
      <alignment horizontal="distributed" vertical="center"/>
    </xf>
    <xf numFmtId="0" fontId="26" fillId="6" borderId="3" xfId="20" applyFont="1" applyBorder="1" applyAlignment="1">
      <alignment horizontal="distributed" vertical="center"/>
    </xf>
    <xf numFmtId="0" fontId="8" fillId="9" borderId="12" xfId="20" applyFont="1" applyFill="1" applyBorder="1" applyAlignment="1">
      <alignment horizontal="left" vertical="center" wrapText="1" shrinkToFit="1"/>
    </xf>
    <xf numFmtId="0" fontId="8" fillId="9" borderId="2" xfId="20" applyFont="1" applyFill="1" applyBorder="1" applyAlignment="1">
      <alignment horizontal="left" vertical="center" shrinkToFit="1"/>
    </xf>
    <xf numFmtId="0" fontId="8" fillId="9" borderId="20" xfId="20" applyFont="1" applyFill="1" applyBorder="1" applyAlignment="1">
      <alignment horizontal="left" vertical="center" shrinkToFit="1"/>
    </xf>
    <xf numFmtId="0" fontId="26" fillId="6" borderId="7" xfId="20" applyFont="1" applyBorder="1" applyAlignment="1">
      <alignment horizontal="distributed" vertical="center"/>
    </xf>
    <xf numFmtId="0" fontId="26" fillId="6" borderId="26" xfId="20" applyFont="1" applyBorder="1" applyAlignment="1">
      <alignment horizontal="distributed" vertical="center"/>
    </xf>
    <xf numFmtId="0" fontId="26" fillId="6" borderId="28" xfId="20" applyFont="1" applyBorder="1" applyAlignment="1">
      <alignment vertical="center"/>
    </xf>
    <xf numFmtId="0" fontId="8" fillId="6" borderId="12" xfId="20" applyFont="1" applyBorder="1" applyAlignment="1">
      <alignment horizontal="center" vertical="center"/>
    </xf>
    <xf numFmtId="0" fontId="8" fillId="6" borderId="2" xfId="20" applyFont="1" applyBorder="1" applyAlignment="1">
      <alignment horizontal="center" vertical="center"/>
    </xf>
    <xf numFmtId="0" fontId="8" fillId="6" borderId="13" xfId="20" applyFont="1" applyBorder="1" applyAlignment="1"/>
    <xf numFmtId="0" fontId="26" fillId="6" borderId="22" xfId="20" applyFont="1" applyBorder="1" applyAlignment="1">
      <alignment horizontal="center" vertical="center"/>
    </xf>
    <xf numFmtId="0" fontId="26" fillId="6" borderId="38" xfId="20" applyFont="1" applyBorder="1" applyAlignment="1">
      <alignment horizontal="center" vertical="center"/>
    </xf>
    <xf numFmtId="0" fontId="26" fillId="6" borderId="23" xfId="20" applyFont="1" applyBorder="1" applyAlignment="1">
      <alignment horizontal="center" vertical="center"/>
    </xf>
    <xf numFmtId="0" fontId="26" fillId="6" borderId="36" xfId="20" applyFont="1" applyBorder="1" applyAlignment="1">
      <alignment horizontal="center" vertical="center"/>
    </xf>
    <xf numFmtId="0" fontId="26" fillId="6" borderId="15" xfId="20" applyFont="1" applyBorder="1" applyAlignment="1">
      <alignment horizontal="center" vertical="center"/>
    </xf>
    <xf numFmtId="0" fontId="26" fillId="6" borderId="37" xfId="20" applyFont="1" applyBorder="1" applyAlignment="1">
      <alignment horizontal="center" vertical="center"/>
    </xf>
    <xf numFmtId="0" fontId="26" fillId="6" borderId="19" xfId="20" applyFont="1" applyBorder="1" applyAlignment="1">
      <alignment horizontal="center" vertical="center" textRotation="255"/>
    </xf>
    <xf numFmtId="0" fontId="26" fillId="6" borderId="3" xfId="20" applyFont="1" applyBorder="1" applyAlignment="1">
      <alignment horizontal="center" vertical="center"/>
    </xf>
    <xf numFmtId="0" fontId="26" fillId="6" borderId="19" xfId="20" applyFont="1" applyBorder="1" applyAlignment="1">
      <alignment horizontal="center" vertical="center"/>
    </xf>
    <xf numFmtId="0" fontId="6" fillId="0" borderId="12" xfId="51" quotePrefix="1" applyFont="1" applyBorder="1" applyAlignment="1">
      <alignment vertical="center"/>
    </xf>
    <xf numFmtId="0" fontId="6" fillId="0" borderId="2" xfId="51" quotePrefix="1" applyFont="1" applyBorder="1" applyAlignment="1">
      <alignment vertical="center"/>
    </xf>
    <xf numFmtId="0" fontId="6" fillId="0" borderId="20" xfId="51" quotePrefix="1" applyFont="1" applyBorder="1" applyAlignment="1">
      <alignment vertical="center"/>
    </xf>
    <xf numFmtId="0" fontId="6" fillId="0" borderId="12" xfId="51" quotePrefix="1" applyFont="1" applyBorder="1" applyAlignment="1">
      <alignment horizontal="left" vertical="center"/>
    </xf>
    <xf numFmtId="0" fontId="6" fillId="0" borderId="2" xfId="51" quotePrefix="1" applyFont="1" applyBorder="1" applyAlignment="1">
      <alignment horizontal="left" vertical="center"/>
    </xf>
    <xf numFmtId="0" fontId="6" fillId="0" borderId="12" xfId="51" applyFont="1" applyBorder="1" applyAlignment="1">
      <alignment horizontal="left" vertical="center"/>
    </xf>
    <xf numFmtId="0" fontId="6" fillId="0" borderId="2" xfId="51" applyFont="1" applyBorder="1" applyAlignment="1">
      <alignment horizontal="left" vertical="center"/>
    </xf>
    <xf numFmtId="0" fontId="6" fillId="0" borderId="20" xfId="51" applyFont="1" applyBorder="1" applyAlignment="1">
      <alignment horizontal="left" vertical="center"/>
    </xf>
    <xf numFmtId="0" fontId="26" fillId="0" borderId="0" xfId="50" applyFont="1" applyAlignment="1" applyProtection="1">
      <alignment horizontal="center" vertical="center"/>
    </xf>
    <xf numFmtId="0" fontId="26" fillId="0" borderId="0" xfId="51" applyFont="1" applyAlignment="1">
      <alignment horizontal="center" vertical="center"/>
    </xf>
    <xf numFmtId="196" fontId="8" fillId="0" borderId="26" xfId="53" applyNumberFormat="1" applyFont="1" applyFill="1" applyBorder="1" applyAlignment="1">
      <alignment horizontal="right" vertical="center"/>
    </xf>
    <xf numFmtId="0" fontId="6" fillId="0" borderId="12" xfId="51" quotePrefix="1" applyFont="1" applyBorder="1" applyAlignment="1">
      <alignment horizontal="center" vertical="center"/>
    </xf>
    <xf numFmtId="0" fontId="6" fillId="0" borderId="2" xfId="51" quotePrefix="1" applyFont="1" applyBorder="1" applyAlignment="1">
      <alignment horizontal="center" vertical="center"/>
    </xf>
    <xf numFmtId="0" fontId="6" fillId="0" borderId="20" xfId="51" quotePrefix="1" applyFont="1" applyBorder="1" applyAlignment="1">
      <alignment horizontal="center" vertical="center"/>
    </xf>
    <xf numFmtId="0" fontId="8" fillId="0" borderId="0" xfId="49" applyFont="1" applyAlignment="1">
      <alignment vertical="center"/>
    </xf>
    <xf numFmtId="31" fontId="47" fillId="0" borderId="0" xfId="49" quotePrefix="1" applyNumberFormat="1" applyFont="1" applyAlignment="1">
      <alignment vertical="center"/>
    </xf>
    <xf numFmtId="0" fontId="8" fillId="0" borderId="0" xfId="49" applyFont="1" applyFill="1" applyAlignment="1">
      <alignment horizontal="left" vertical="top" wrapText="1"/>
    </xf>
    <xf numFmtId="0" fontId="8" fillId="0" borderId="0" xfId="49" applyFont="1" applyAlignment="1">
      <alignment horizontal="left" vertical="center"/>
    </xf>
    <xf numFmtId="0" fontId="8" fillId="0" borderId="0" xfId="49" applyFont="1" applyAlignment="1">
      <alignment horizontal="center" vertical="center"/>
    </xf>
    <xf numFmtId="0" fontId="11" fillId="0" borderId="0" xfId="49" applyFont="1" applyAlignment="1">
      <alignment horizontal="left" vertical="center"/>
    </xf>
    <xf numFmtId="0" fontId="6" fillId="0" borderId="0" xfId="49" applyFont="1" applyFill="1" applyAlignment="1">
      <alignment horizontal="left" vertical="center" wrapText="1"/>
    </xf>
    <xf numFmtId="2" fontId="8" fillId="0" borderId="0" xfId="49" applyNumberFormat="1" applyFont="1" applyAlignment="1">
      <alignment vertical="center"/>
    </xf>
    <xf numFmtId="0" fontId="17" fillId="0" borderId="0" xfId="49" applyNumberFormat="1" applyFont="1" applyAlignment="1">
      <alignment vertical="center" wrapText="1"/>
    </xf>
    <xf numFmtId="0" fontId="17" fillId="0" borderId="0" xfId="49" applyNumberFormat="1" applyFont="1" applyAlignment="1">
      <alignment vertical="center"/>
    </xf>
    <xf numFmtId="4" fontId="8" fillId="0" borderId="0" xfId="49" applyNumberFormat="1" applyFont="1" applyAlignment="1">
      <alignment vertical="center"/>
    </xf>
    <xf numFmtId="0" fontId="8" fillId="0" borderId="0" xfId="49" applyFont="1" applyAlignment="1">
      <alignment vertical="center" wrapText="1"/>
    </xf>
    <xf numFmtId="4" fontId="8" fillId="0" borderId="0" xfId="49" applyNumberFormat="1" applyFont="1" applyAlignment="1">
      <alignment horizontal="left" vertical="center" shrinkToFit="1"/>
    </xf>
    <xf numFmtId="3" fontId="75" fillId="0" borderId="0" xfId="49" applyNumberFormat="1" applyFont="1" applyAlignment="1">
      <alignment horizontal="right" vertical="center"/>
    </xf>
    <xf numFmtId="0" fontId="25" fillId="0" borderId="0" xfId="49" applyFont="1" applyAlignment="1">
      <alignment horizontal="center" vertical="center"/>
    </xf>
    <xf numFmtId="4" fontId="8" fillId="0" borderId="0" xfId="49" applyNumberFormat="1" applyFont="1" applyAlignment="1">
      <alignment horizontal="left" vertical="center"/>
    </xf>
    <xf numFmtId="4" fontId="8" fillId="0" borderId="0" xfId="49" applyNumberFormat="1" applyFont="1" applyFill="1" applyAlignment="1">
      <alignment horizontal="right" vertical="center"/>
    </xf>
    <xf numFmtId="0" fontId="8" fillId="0" borderId="0" xfId="49" applyFont="1" applyFill="1" applyAlignment="1">
      <alignment vertical="center" shrinkToFit="1"/>
    </xf>
    <xf numFmtId="4" fontId="17" fillId="0" borderId="0" xfId="49" applyNumberFormat="1" applyFont="1" applyFill="1" applyAlignment="1">
      <alignment horizontal="left" vertical="center"/>
    </xf>
    <xf numFmtId="0" fontId="41" fillId="0" borderId="0" xfId="45" applyFont="1" applyAlignment="1">
      <alignment horizontal="center" vertical="center" shrinkToFit="1"/>
    </xf>
    <xf numFmtId="0" fontId="26" fillId="0" borderId="0" xfId="45" applyFont="1" applyAlignment="1">
      <alignment horizontal="center" vertical="center" shrinkToFit="1"/>
    </xf>
    <xf numFmtId="0" fontId="26" fillId="0" borderId="0" xfId="46" applyFont="1" applyAlignment="1">
      <alignment horizontal="center" vertical="center" shrinkToFit="1"/>
    </xf>
    <xf numFmtId="0" fontId="50" fillId="0" borderId="0" xfId="45" applyFont="1" applyAlignment="1">
      <alignment horizontal="left"/>
    </xf>
    <xf numFmtId="0" fontId="50" fillId="0" borderId="0" xfId="45" applyFont="1" applyAlignment="1">
      <alignment horizontal="left" vertical="top" wrapText="1"/>
    </xf>
    <xf numFmtId="0" fontId="50" fillId="0" borderId="0" xfId="45" applyFont="1"/>
    <xf numFmtId="0" fontId="17" fillId="0" borderId="3" xfId="0" applyFont="1" applyBorder="1" applyAlignment="1">
      <alignment vertical="center" wrapText="1"/>
    </xf>
    <xf numFmtId="0" fontId="85" fillId="0" borderId="3" xfId="0" applyFont="1" applyBorder="1" applyAlignment="1">
      <alignment horizontal="justify" vertical="center" wrapText="1"/>
    </xf>
    <xf numFmtId="0" fontId="17" fillId="0" borderId="12" xfId="0" applyFont="1" applyBorder="1" applyAlignment="1">
      <alignment horizontal="justify" vertical="center" wrapText="1"/>
    </xf>
    <xf numFmtId="0" fontId="17" fillId="0" borderId="3" xfId="0" applyFont="1" applyBorder="1" applyAlignment="1">
      <alignment horizontal="justify" vertical="center" wrapText="1"/>
    </xf>
    <xf numFmtId="0" fontId="85" fillId="0" borderId="27" xfId="0" applyFont="1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17" fillId="0" borderId="27" xfId="0" applyFont="1" applyBorder="1" applyAlignment="1">
      <alignment vertical="center" wrapText="1"/>
    </xf>
    <xf numFmtId="0" fontId="17" fillId="0" borderId="25" xfId="0" applyFont="1" applyBorder="1" applyAlignment="1">
      <alignment vertical="center" wrapText="1"/>
    </xf>
    <xf numFmtId="0" fontId="17" fillId="0" borderId="21" xfId="0" applyFont="1" applyBorder="1" applyAlignment="1">
      <alignment vertical="center" wrapText="1"/>
    </xf>
    <xf numFmtId="0" fontId="17" fillId="0" borderId="27" xfId="0" applyFont="1" applyBorder="1" applyAlignment="1">
      <alignment horizontal="justify" vertical="center" wrapText="1"/>
    </xf>
    <xf numFmtId="0" fontId="17" fillId="0" borderId="25" xfId="0" applyFont="1" applyBorder="1" applyAlignment="1">
      <alignment horizontal="justify" vertical="center" wrapText="1"/>
    </xf>
    <xf numFmtId="0" fontId="17" fillId="0" borderId="21" xfId="0" applyFont="1" applyBorder="1" applyAlignment="1">
      <alignment horizontal="justify" vertical="center" wrapText="1"/>
    </xf>
    <xf numFmtId="0" fontId="8" fillId="0" borderId="27" xfId="0" applyFont="1" applyBorder="1" applyAlignment="1">
      <alignment vertical="center" wrapText="1"/>
    </xf>
    <xf numFmtId="0" fontId="85" fillId="0" borderId="27" xfId="0" applyFont="1" applyBorder="1" applyAlignment="1">
      <alignment horizontal="left" vertical="center" wrapText="1"/>
    </xf>
    <xf numFmtId="0" fontId="85" fillId="0" borderId="25" xfId="0" applyFont="1" applyBorder="1" applyAlignment="1">
      <alignment horizontal="left" vertical="center" wrapText="1"/>
    </xf>
    <xf numFmtId="0" fontId="85" fillId="0" borderId="21" xfId="0" applyFont="1" applyBorder="1" applyAlignment="1">
      <alignment horizontal="left" vertical="center" wrapText="1"/>
    </xf>
    <xf numFmtId="0" fontId="85" fillId="0" borderId="27" xfId="0" applyFont="1" applyBorder="1" applyAlignment="1">
      <alignment horizontal="justify" vertical="center" wrapText="1"/>
    </xf>
    <xf numFmtId="0" fontId="85" fillId="0" borderId="25" xfId="0" applyFont="1" applyBorder="1" applyAlignment="1">
      <alignment horizontal="justify" vertical="center" wrapText="1"/>
    </xf>
    <xf numFmtId="0" fontId="85" fillId="0" borderId="21" xfId="0" applyFont="1" applyBorder="1" applyAlignment="1">
      <alignment horizontal="justify" vertical="center" wrapText="1"/>
    </xf>
    <xf numFmtId="0" fontId="17" fillId="0" borderId="20" xfId="0" applyFont="1" applyBorder="1" applyAlignment="1">
      <alignment horizontal="justify" vertical="center" wrapText="1"/>
    </xf>
    <xf numFmtId="0" fontId="8" fillId="0" borderId="0" xfId="0" applyFont="1" applyAlignment="1">
      <alignment horizontal="left" wrapText="1"/>
    </xf>
    <xf numFmtId="0" fontId="85" fillId="0" borderId="3" xfId="0" applyFont="1" applyBorder="1" applyAlignment="1">
      <alignment vertical="center" wrapText="1"/>
    </xf>
    <xf numFmtId="0" fontId="17" fillId="0" borderId="12" xfId="0" applyFont="1" applyBorder="1" applyAlignment="1">
      <alignment vertical="center" wrapText="1"/>
    </xf>
    <xf numFmtId="0" fontId="85" fillId="0" borderId="3" xfId="0" applyFont="1" applyBorder="1" applyAlignment="1">
      <alignment vertical="top" wrapText="1"/>
    </xf>
    <xf numFmtId="0" fontId="8" fillId="0" borderId="0" xfId="0" applyFont="1" applyAlignment="1">
      <alignment horizontal="left" vertical="center" wrapText="1"/>
    </xf>
    <xf numFmtId="0" fontId="8" fillId="0" borderId="56" xfId="47" applyFont="1" applyBorder="1" applyAlignment="1">
      <alignment horizontal="center" vertical="center"/>
    </xf>
    <xf numFmtId="0" fontId="8" fillId="0" borderId="58" xfId="46" applyFont="1" applyBorder="1" applyAlignment="1">
      <alignment horizontal="center" vertical="center"/>
    </xf>
    <xf numFmtId="0" fontId="6" fillId="9" borderId="52" xfId="46" applyFont="1" applyFill="1" applyBorder="1" applyAlignment="1">
      <alignment horizontal="center" vertical="center"/>
    </xf>
    <xf numFmtId="0" fontId="6" fillId="9" borderId="20" xfId="46" applyFont="1" applyFill="1" applyBorder="1" applyAlignment="1">
      <alignment horizontal="center" vertical="center"/>
    </xf>
    <xf numFmtId="49" fontId="8" fillId="9" borderId="39" xfId="45" applyNumberFormat="1" applyFont="1" applyFill="1" applyBorder="1" applyAlignment="1">
      <alignment horizontal="center" vertical="center"/>
    </xf>
    <xf numFmtId="0" fontId="8" fillId="9" borderId="29" xfId="46" applyFont="1" applyFill="1" applyBorder="1" applyAlignment="1">
      <alignment vertical="center"/>
    </xf>
    <xf numFmtId="0" fontId="50" fillId="0" borderId="0" xfId="45" applyFont="1" applyAlignment="1">
      <alignment vertical="center" wrapText="1"/>
    </xf>
    <xf numFmtId="0" fontId="8" fillId="0" borderId="0" xfId="46" applyFont="1" applyAlignment="1">
      <alignment vertical="center"/>
    </xf>
    <xf numFmtId="49" fontId="8" fillId="0" borderId="48" xfId="45" applyNumberFormat="1" applyFont="1" applyBorder="1" applyAlignment="1">
      <alignment vertical="center" wrapText="1"/>
    </xf>
    <xf numFmtId="0" fontId="8" fillId="0" borderId="49" xfId="46" applyFont="1" applyBorder="1"/>
    <xf numFmtId="0" fontId="8" fillId="0" borderId="50" xfId="46" applyFont="1" applyBorder="1"/>
    <xf numFmtId="0" fontId="8" fillId="0" borderId="51" xfId="46" applyFont="1" applyBorder="1"/>
    <xf numFmtId="190" fontId="8" fillId="0" borderId="11" xfId="47" applyNumberFormat="1" applyFont="1" applyBorder="1" applyAlignment="1">
      <alignment horizontal="center" vertical="center" wrapText="1"/>
    </xf>
    <xf numFmtId="0" fontId="20" fillId="0" borderId="3" xfId="46" applyBorder="1" applyAlignment="1">
      <alignment horizontal="center" vertical="center"/>
    </xf>
    <xf numFmtId="0" fontId="8" fillId="0" borderId="11" xfId="46" applyFont="1" applyBorder="1" applyAlignment="1">
      <alignment horizontal="center" vertical="center"/>
    </xf>
    <xf numFmtId="0" fontId="8" fillId="0" borderId="3" xfId="46" applyFont="1" applyBorder="1" applyAlignment="1">
      <alignment horizontal="center" vertical="center"/>
    </xf>
    <xf numFmtId="189" fontId="63" fillId="0" borderId="3" xfId="47" applyNumberFormat="1" applyFont="1" applyBorder="1" applyAlignment="1">
      <alignment horizontal="center" vertical="center" shrinkToFit="1"/>
    </xf>
    <xf numFmtId="189" fontId="63" fillId="0" borderId="58" xfId="47" applyNumberFormat="1" applyFont="1" applyBorder="1" applyAlignment="1">
      <alignment horizontal="center" vertical="center" shrinkToFit="1"/>
    </xf>
    <xf numFmtId="189" fontId="63" fillId="0" borderId="27" xfId="47" applyNumberFormat="1" applyFont="1" applyBorder="1" applyAlignment="1">
      <alignment horizontal="center" vertical="center" shrinkToFit="1"/>
    </xf>
    <xf numFmtId="189" fontId="63" fillId="0" borderId="59" xfId="47" applyNumberFormat="1" applyFont="1" applyBorder="1" applyAlignment="1">
      <alignment horizontal="center" vertical="center" shrinkToFit="1"/>
    </xf>
    <xf numFmtId="189" fontId="63" fillId="0" borderId="29" xfId="47" applyNumberFormat="1" applyFont="1" applyBorder="1" applyAlignment="1">
      <alignment horizontal="center" vertical="center" shrinkToFit="1"/>
    </xf>
    <xf numFmtId="189" fontId="63" fillId="0" borderId="60" xfId="47" applyNumberFormat="1" applyFont="1" applyBorder="1" applyAlignment="1">
      <alignment horizontal="center" vertical="center" shrinkToFit="1"/>
    </xf>
    <xf numFmtId="189" fontId="63" fillId="0" borderId="12" xfId="47" applyNumberFormat="1" applyFont="1" applyBorder="1" applyAlignment="1">
      <alignment horizontal="center" vertical="center" shrinkToFit="1"/>
    </xf>
    <xf numFmtId="189" fontId="63" fillId="0" borderId="13" xfId="47" applyNumberFormat="1" applyFont="1" applyBorder="1" applyAlignment="1">
      <alignment horizontal="center" vertical="center" shrinkToFit="1"/>
    </xf>
    <xf numFmtId="0" fontId="42" fillId="0" borderId="0" xfId="45" applyFont="1" applyAlignment="1">
      <alignment horizontal="center" vertical="center" shrinkToFit="1"/>
    </xf>
    <xf numFmtId="0" fontId="42" fillId="0" borderId="0" xfId="46" applyFont="1" applyAlignment="1">
      <alignment horizontal="center" vertical="center" shrinkToFit="1"/>
    </xf>
    <xf numFmtId="0" fontId="15" fillId="0" borderId="24" xfId="45" applyFont="1" applyBorder="1" applyAlignment="1">
      <alignment horizontal="left" vertical="center"/>
    </xf>
    <xf numFmtId="0" fontId="62" fillId="0" borderId="24" xfId="46" applyFont="1" applyBorder="1" applyAlignment="1">
      <alignment horizontal="left" vertical="center"/>
    </xf>
    <xf numFmtId="0" fontId="62" fillId="0" borderId="0" xfId="46" applyFont="1" applyAlignment="1">
      <alignment horizontal="left" vertical="center"/>
    </xf>
    <xf numFmtId="0" fontId="8" fillId="0" borderId="17" xfId="45" applyFont="1" applyBorder="1" applyAlignment="1">
      <alignment horizontal="center" vertical="center"/>
    </xf>
    <xf numFmtId="0" fontId="33" fillId="0" borderId="19" xfId="46" applyFont="1" applyBorder="1" applyAlignment="1">
      <alignment horizontal="center" vertical="center"/>
    </xf>
    <xf numFmtId="0" fontId="8" fillId="0" borderId="11" xfId="45" applyFont="1" applyBorder="1" applyAlignment="1">
      <alignment horizontal="center" vertical="center" wrapText="1"/>
    </xf>
    <xf numFmtId="0" fontId="33" fillId="0" borderId="3" xfId="46" applyFont="1" applyBorder="1" applyAlignment="1">
      <alignment horizontal="center" vertical="center"/>
    </xf>
    <xf numFmtId="0" fontId="2" fillId="0" borderId="3" xfId="46" applyFont="1" applyBorder="1" applyAlignment="1">
      <alignment horizontal="center" vertical="center"/>
    </xf>
    <xf numFmtId="0" fontId="8" fillId="0" borderId="41" xfId="45" applyFont="1" applyBorder="1" applyAlignment="1">
      <alignment horizontal="center" vertical="center" wrapText="1"/>
    </xf>
    <xf numFmtId="0" fontId="33" fillId="0" borderId="41" xfId="46" applyFont="1" applyBorder="1"/>
    <xf numFmtId="0" fontId="8" fillId="0" borderId="56" xfId="45" applyFont="1" applyBorder="1" applyAlignment="1">
      <alignment horizontal="center" vertical="center" wrapText="1"/>
    </xf>
    <xf numFmtId="0" fontId="8" fillId="0" borderId="21" xfId="45" applyFont="1" applyBorder="1" applyAlignment="1">
      <alignment horizontal="center" vertical="center" wrapText="1"/>
    </xf>
    <xf numFmtId="0" fontId="8" fillId="0" borderId="57" xfId="45" applyFont="1" applyBorder="1" applyAlignment="1">
      <alignment horizontal="center" vertical="center" wrapText="1"/>
    </xf>
    <xf numFmtId="200" fontId="101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8" fillId="0" borderId="0" xfId="0" applyFont="1" applyAlignment="1">
      <alignment vertical="center"/>
    </xf>
    <xf numFmtId="0" fontId="50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99" fillId="0" borderId="0" xfId="0" applyFont="1" applyAlignment="1">
      <alignment horizontal="left" vertical="center" wrapText="1"/>
    </xf>
    <xf numFmtId="200" fontId="100" fillId="0" borderId="0" xfId="0" applyNumberFormat="1" applyFont="1" applyAlignment="1">
      <alignment horizontal="center" vertical="center"/>
    </xf>
    <xf numFmtId="0" fontId="50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left" vertical="center"/>
    </xf>
    <xf numFmtId="0" fontId="4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63" fillId="0" borderId="61" xfId="57" applyNumberFormat="1" applyFont="1" applyBorder="1" applyAlignment="1">
      <alignment horizontal="center" vertical="center" wrapText="1"/>
    </xf>
    <xf numFmtId="10" fontId="63" fillId="0" borderId="26" xfId="57" applyNumberFormat="1" applyFont="1" applyBorder="1" applyAlignment="1">
      <alignment horizontal="center" vertical="center" wrapText="1"/>
    </xf>
    <xf numFmtId="0" fontId="8" fillId="0" borderId="2" xfId="43" applyFont="1" applyBorder="1" applyAlignment="1">
      <alignment horizontal="center" vertical="center"/>
    </xf>
    <xf numFmtId="201" fontId="47" fillId="0" borderId="2" xfId="43" applyNumberFormat="1" applyFont="1" applyBorder="1" applyAlignment="1">
      <alignment vertical="center" wrapText="1"/>
    </xf>
    <xf numFmtId="201" fontId="8" fillId="0" borderId="2" xfId="43" applyNumberFormat="1" applyFont="1" applyBorder="1" applyAlignment="1"/>
    <xf numFmtId="0" fontId="8" fillId="0" borderId="61" xfId="43" applyFont="1" applyBorder="1" applyAlignment="1">
      <alignment horizontal="center" vertical="center" wrapText="1"/>
    </xf>
    <xf numFmtId="0" fontId="8" fillId="0" borderId="26" xfId="43" applyFont="1" applyBorder="1" applyAlignment="1">
      <alignment horizontal="center" vertical="center" wrapText="1"/>
    </xf>
    <xf numFmtId="0" fontId="47" fillId="0" borderId="2" xfId="43" applyFont="1" applyBorder="1" applyAlignment="1">
      <alignment horizontal="center" vertical="center" wrapText="1"/>
    </xf>
    <xf numFmtId="0" fontId="2" fillId="0" borderId="3" xfId="43" applyFont="1" applyBorder="1" applyAlignment="1">
      <alignment horizontal="center" vertical="center" wrapText="1" shrinkToFit="1"/>
    </xf>
    <xf numFmtId="0" fontId="2" fillId="0" borderId="3" xfId="43" applyFont="1" applyBorder="1" applyAlignment="1">
      <alignment horizontal="center" vertical="center" wrapText="1"/>
    </xf>
    <xf numFmtId="0" fontId="2" fillId="0" borderId="3" xfId="43" applyFont="1" applyBorder="1" applyAlignment="1">
      <alignment horizontal="center" vertical="center"/>
    </xf>
    <xf numFmtId="0" fontId="2" fillId="0" borderId="12" xfId="43" applyFont="1" applyBorder="1" applyAlignment="1">
      <alignment horizontal="center" vertical="center" wrapText="1" shrinkToFit="1"/>
    </xf>
    <xf numFmtId="0" fontId="2" fillId="0" borderId="20" xfId="43" applyFont="1" applyBorder="1" applyAlignment="1">
      <alignment horizontal="center" vertical="center" wrapText="1" shrinkToFit="1"/>
    </xf>
    <xf numFmtId="0" fontId="49" fillId="0" borderId="0" xfId="43" applyFont="1" applyAlignment="1">
      <alignment horizontal="center" vertical="center" wrapText="1"/>
    </xf>
    <xf numFmtId="0" fontId="51" fillId="0" borderId="0" xfId="43" applyFont="1" applyAlignment="1">
      <alignment horizontal="center" vertical="center" wrapText="1"/>
    </xf>
    <xf numFmtId="0" fontId="6" fillId="0" borderId="26" xfId="43" applyFont="1" applyBorder="1" applyAlignment="1">
      <alignment horizontal="left" vertical="center" wrapText="1" shrinkToFit="1"/>
    </xf>
    <xf numFmtId="0" fontId="2" fillId="0" borderId="26" xfId="43" applyFont="1" applyBorder="1" applyAlignment="1">
      <alignment horizontal="left" vertical="center" wrapText="1" shrinkToFit="1"/>
    </xf>
    <xf numFmtId="0" fontId="53" fillId="0" borderId="26" xfId="43" applyFont="1" applyBorder="1" applyAlignment="1">
      <alignment horizontal="center" vertical="center" wrapText="1" shrinkToFit="1"/>
    </xf>
    <xf numFmtId="0" fontId="54" fillId="0" borderId="26" xfId="43" applyFont="1" applyBorder="1" applyAlignment="1">
      <alignment horizontal="right" wrapText="1" shrinkToFit="1"/>
    </xf>
    <xf numFmtId="0" fontId="56" fillId="0" borderId="26" xfId="18" applyFont="1" applyBorder="1" applyAlignment="1">
      <alignment horizontal="right" wrapText="1"/>
    </xf>
    <xf numFmtId="189" fontId="48" fillId="0" borderId="27" xfId="44" applyNumberFormat="1" applyFont="1" applyBorder="1" applyAlignment="1">
      <alignment horizontal="center" vertical="center"/>
    </xf>
    <xf numFmtId="189" fontId="48" fillId="0" borderId="21" xfId="44" applyNumberFormat="1" applyFont="1" applyBorder="1" applyAlignment="1">
      <alignment horizontal="center" vertical="center"/>
    </xf>
    <xf numFmtId="0" fontId="29" fillId="0" borderId="27" xfId="43" applyFont="1" applyBorder="1" applyAlignment="1">
      <alignment horizontal="center" vertical="center"/>
    </xf>
    <xf numFmtId="0" fontId="29" fillId="0" borderId="21" xfId="43" applyFont="1" applyBorder="1" applyAlignment="1">
      <alignment horizontal="center" vertical="center"/>
    </xf>
    <xf numFmtId="189" fontId="29" fillId="0" borderId="27" xfId="43" applyNumberFormat="1" applyFont="1" applyBorder="1" applyAlignment="1">
      <alignment horizontal="center" vertical="center"/>
    </xf>
    <xf numFmtId="189" fontId="29" fillId="0" borderId="21" xfId="43" applyNumberFormat="1" applyFont="1" applyBorder="1" applyAlignment="1">
      <alignment horizontal="center" vertical="center"/>
    </xf>
    <xf numFmtId="189" fontId="6" fillId="0" borderId="27" xfId="44" applyNumberFormat="1" applyFont="1" applyBorder="1" applyAlignment="1">
      <alignment horizontal="center" vertical="center"/>
    </xf>
    <xf numFmtId="189" fontId="6" fillId="0" borderId="21" xfId="44" applyNumberFormat="1" applyFont="1" applyBorder="1" applyAlignment="1">
      <alignment horizontal="center" vertical="center"/>
    </xf>
    <xf numFmtId="49" fontId="6" fillId="0" borderId="27" xfId="43" applyNumberFormat="1" applyFont="1" applyBorder="1" applyAlignment="1">
      <alignment horizontal="center" vertical="center"/>
    </xf>
    <xf numFmtId="49" fontId="6" fillId="0" borderId="21" xfId="43" applyNumberFormat="1" applyFont="1" applyBorder="1" applyAlignment="1">
      <alignment horizontal="center" vertical="center"/>
    </xf>
    <xf numFmtId="0" fontId="48" fillId="0" borderId="27" xfId="18" applyFont="1" applyBorder="1" applyAlignment="1">
      <alignment horizontal="left" vertical="center" shrinkToFit="1"/>
    </xf>
    <xf numFmtId="0" fontId="48" fillId="0" borderId="21" xfId="18" applyFont="1" applyBorder="1" applyAlignment="1">
      <alignment horizontal="left" vertical="center" shrinkToFit="1"/>
    </xf>
    <xf numFmtId="0" fontId="64" fillId="0" borderId="27" xfId="21" applyFont="1" applyBorder="1" applyAlignment="1">
      <alignment horizontal="center" vertical="center" shrinkToFit="1"/>
    </xf>
    <xf numFmtId="0" fontId="64" fillId="0" borderId="21" xfId="21" applyFont="1" applyBorder="1" applyAlignment="1">
      <alignment horizontal="center" vertical="center" shrinkToFit="1"/>
    </xf>
    <xf numFmtId="201" fontId="64" fillId="0" borderId="27" xfId="44" applyNumberFormat="1" applyFont="1" applyBorder="1" applyAlignment="1">
      <alignment horizontal="left" vertical="center" shrinkToFit="1"/>
    </xf>
    <xf numFmtId="201" fontId="0" fillId="0" borderId="21" xfId="0" applyNumberFormat="1" applyBorder="1" applyAlignment="1">
      <alignment horizontal="left" vertical="center" shrinkToFit="1"/>
    </xf>
    <xf numFmtId="201" fontId="64" fillId="9" borderId="27" xfId="44" applyNumberFormat="1" applyFont="1" applyFill="1" applyBorder="1" applyAlignment="1">
      <alignment horizontal="center" vertical="center"/>
    </xf>
    <xf numFmtId="201" fontId="64" fillId="9" borderId="21" xfId="44" applyNumberFormat="1" applyFont="1" applyFill="1" applyBorder="1" applyAlignment="1">
      <alignment horizontal="center" vertical="center"/>
    </xf>
    <xf numFmtId="4" fontId="45" fillId="0" borderId="27" xfId="43" applyNumberFormat="1" applyFont="1" applyBorder="1" applyAlignment="1">
      <alignment horizontal="center" vertical="center"/>
    </xf>
    <xf numFmtId="4" fontId="45" fillId="0" borderId="21" xfId="43" applyNumberFormat="1" applyFont="1" applyBorder="1" applyAlignment="1">
      <alignment horizontal="center" vertical="center"/>
    </xf>
    <xf numFmtId="201" fontId="64" fillId="9" borderId="27" xfId="44" applyNumberFormat="1" applyFont="1" applyFill="1" applyBorder="1" applyAlignment="1">
      <alignment horizontal="left" vertical="center" shrinkToFit="1"/>
    </xf>
    <xf numFmtId="201" fontId="0" fillId="9" borderId="21" xfId="0" applyNumberFormat="1" applyFill="1" applyBorder="1" applyAlignment="1">
      <alignment horizontal="left" vertical="center" shrinkToFit="1"/>
    </xf>
    <xf numFmtId="189" fontId="45" fillId="0" borderId="27" xfId="43" applyNumberFormat="1" applyFont="1" applyBorder="1" applyAlignment="1">
      <alignment horizontal="center" vertical="center"/>
    </xf>
    <xf numFmtId="189" fontId="45" fillId="0" borderId="21" xfId="43" applyNumberFormat="1" applyFont="1" applyBorder="1" applyAlignment="1">
      <alignment horizontal="center" vertical="center"/>
    </xf>
    <xf numFmtId="0" fontId="64" fillId="0" borderId="27" xfId="21" applyFont="1" applyBorder="1" applyAlignment="1">
      <alignment horizontal="center" vertical="center"/>
    </xf>
    <xf numFmtId="0" fontId="64" fillId="0" borderId="21" xfId="21" applyFont="1" applyBorder="1" applyAlignment="1">
      <alignment horizontal="center" vertical="center"/>
    </xf>
    <xf numFmtId="201" fontId="64" fillId="0" borderId="27" xfId="44" applyNumberFormat="1" applyFont="1" applyBorder="1" applyAlignment="1">
      <alignment horizontal="center" vertical="center"/>
    </xf>
    <xf numFmtId="201" fontId="64" fillId="0" borderId="21" xfId="44" applyNumberFormat="1" applyFont="1" applyBorder="1" applyAlignment="1">
      <alignment horizontal="center" vertical="center"/>
    </xf>
    <xf numFmtId="201" fontId="48" fillId="9" borderId="27" xfId="44" applyNumberFormat="1" applyFont="1" applyFill="1" applyBorder="1" applyAlignment="1">
      <alignment horizontal="center" vertical="center"/>
    </xf>
    <xf numFmtId="201" fontId="48" fillId="9" borderId="21" xfId="44" applyNumberFormat="1" applyFont="1" applyFill="1" applyBorder="1" applyAlignment="1">
      <alignment horizontal="center" vertical="center"/>
    </xf>
    <xf numFmtId="4" fontId="29" fillId="0" borderId="27" xfId="43" applyNumberFormat="1" applyFont="1" applyBorder="1" applyAlignment="1">
      <alignment horizontal="center" vertical="center"/>
    </xf>
    <xf numFmtId="4" fontId="29" fillId="0" borderId="21" xfId="43" applyNumberFormat="1" applyFont="1" applyBorder="1" applyAlignment="1">
      <alignment horizontal="center" vertical="center"/>
    </xf>
    <xf numFmtId="0" fontId="15" fillId="0" borderId="0" xfId="43" applyFont="1" applyAlignment="1">
      <alignment horizontal="center" vertical="center" wrapText="1"/>
    </xf>
    <xf numFmtId="43" fontId="65" fillId="0" borderId="0" xfId="44" applyNumberFormat="1" applyFont="1" applyAlignment="1">
      <alignment horizontal="center" vertical="center" wrapText="1"/>
    </xf>
    <xf numFmtId="43" fontId="45" fillId="0" borderId="26" xfId="44" applyNumberFormat="1" applyFont="1" applyBorder="1" applyAlignment="1">
      <alignment horizontal="right" vertical="center" wrapText="1"/>
    </xf>
    <xf numFmtId="0" fontId="29" fillId="0" borderId="26" xfId="18" applyFont="1" applyBorder="1" applyAlignment="1">
      <alignment horizontal="right" vertical="center" wrapText="1"/>
    </xf>
    <xf numFmtId="0" fontId="29" fillId="0" borderId="26" xfId="18" applyFont="1" applyBorder="1" applyAlignment="1">
      <alignment vertical="center" wrapText="1"/>
    </xf>
    <xf numFmtId="184" fontId="6" fillId="0" borderId="3" xfId="43" applyNumberFormat="1" applyFont="1" applyBorder="1" applyAlignment="1">
      <alignment horizontal="center" vertical="center" wrapText="1" shrinkToFit="1"/>
    </xf>
    <xf numFmtId="43" fontId="6" fillId="0" borderId="3" xfId="44" applyNumberFormat="1" applyFont="1" applyBorder="1" applyAlignment="1">
      <alignment horizontal="center" vertical="center" wrapText="1" shrinkToFit="1"/>
    </xf>
    <xf numFmtId="43" fontId="64" fillId="0" borderId="3" xfId="44" applyNumberFormat="1" applyFont="1" applyBorder="1" applyAlignment="1">
      <alignment horizontal="center" vertical="center" wrapText="1" shrinkToFit="1"/>
    </xf>
    <xf numFmtId="43" fontId="6" fillId="0" borderId="3" xfId="44" applyNumberFormat="1" applyFont="1" applyBorder="1" applyAlignment="1">
      <alignment horizontal="center" vertical="center" wrapText="1"/>
    </xf>
    <xf numFmtId="0" fontId="6" fillId="0" borderId="3" xfId="43" applyFont="1" applyBorder="1" applyAlignment="1">
      <alignment horizontal="center" vertical="center" wrapText="1" shrinkToFit="1"/>
    </xf>
    <xf numFmtId="43" fontId="48" fillId="0" borderId="27" xfId="44" applyNumberFormat="1" applyFont="1" applyBorder="1" applyAlignment="1">
      <alignment horizontal="center" vertical="center" wrapText="1" shrinkToFit="1"/>
    </xf>
    <xf numFmtId="43" fontId="48" fillId="0" borderId="21" xfId="44" applyNumberFormat="1" applyFont="1" applyBorder="1" applyAlignment="1">
      <alignment horizontal="center" vertical="center" wrapText="1" shrinkToFit="1"/>
    </xf>
    <xf numFmtId="0" fontId="78" fillId="9" borderId="12" xfId="0" applyFont="1" applyFill="1" applyBorder="1" applyAlignment="1">
      <alignment horizontal="left" vertical="center" wrapText="1"/>
    </xf>
    <xf numFmtId="0" fontId="78" fillId="9" borderId="20" xfId="0" applyFont="1" applyFill="1" applyBorder="1" applyAlignment="1">
      <alignment horizontal="left" vertical="center" wrapText="1"/>
    </xf>
    <xf numFmtId="0" fontId="78" fillId="9" borderId="12" xfId="0" applyFont="1" applyFill="1" applyBorder="1" applyAlignment="1">
      <alignment horizontal="center" vertical="center" wrapText="1"/>
    </xf>
    <xf numFmtId="0" fontId="78" fillId="9" borderId="20" xfId="0" applyFont="1" applyFill="1" applyBorder="1" applyAlignment="1">
      <alignment horizontal="center" vertical="center" wrapText="1"/>
    </xf>
    <xf numFmtId="0" fontId="78" fillId="9" borderId="12" xfId="0" applyFont="1" applyFill="1" applyBorder="1" applyAlignment="1">
      <alignment horizontal="distributed" vertical="center" wrapText="1"/>
    </xf>
    <xf numFmtId="0" fontId="78" fillId="9" borderId="20" xfId="0" applyFont="1" applyFill="1" applyBorder="1" applyAlignment="1">
      <alignment horizontal="distributed" vertical="center" wrapText="1"/>
    </xf>
    <xf numFmtId="0" fontId="78" fillId="9" borderId="10" xfId="0" applyFont="1" applyFill="1" applyBorder="1" applyAlignment="1">
      <alignment horizontal="center" vertical="center"/>
    </xf>
    <xf numFmtId="0" fontId="78" fillId="9" borderId="53" xfId="0" applyFont="1" applyFill="1" applyBorder="1" applyAlignment="1">
      <alignment horizontal="center" vertical="center"/>
    </xf>
    <xf numFmtId="0" fontId="78" fillId="9" borderId="7" xfId="0" applyFont="1" applyFill="1" applyBorder="1" applyAlignment="1">
      <alignment horizontal="center" vertical="center"/>
    </xf>
    <xf numFmtId="0" fontId="78" fillId="9" borderId="28" xfId="0" applyFont="1" applyFill="1" applyBorder="1" applyAlignment="1">
      <alignment horizontal="center" vertical="center"/>
    </xf>
    <xf numFmtId="0" fontId="78" fillId="9" borderId="3" xfId="0" applyFont="1" applyFill="1" applyBorder="1" applyAlignment="1">
      <alignment horizontal="center" vertical="center"/>
    </xf>
    <xf numFmtId="41" fontId="78" fillId="9" borderId="27" xfId="0" applyNumberFormat="1" applyFont="1" applyFill="1" applyBorder="1" applyAlignment="1">
      <alignment horizontal="center" vertical="center" shrinkToFit="1"/>
    </xf>
    <xf numFmtId="41" fontId="78" fillId="9" borderId="21" xfId="0" applyNumberFormat="1" applyFont="1" applyFill="1" applyBorder="1" applyAlignment="1">
      <alignment horizontal="center" vertical="center" shrinkToFit="1"/>
    </xf>
    <xf numFmtId="41" fontId="78" fillId="9" borderId="3" xfId="0" applyNumberFormat="1" applyFont="1" applyFill="1" applyBorder="1" applyAlignment="1">
      <alignment horizontal="right" vertical="center" shrinkToFit="1"/>
    </xf>
    <xf numFmtId="0" fontId="29" fillId="9" borderId="26" xfId="0" applyFont="1" applyFill="1" applyBorder="1" applyAlignment="1">
      <alignment horizontal="left" vertical="top" wrapText="1"/>
    </xf>
    <xf numFmtId="41" fontId="78" fillId="9" borderId="27" xfId="0" applyNumberFormat="1" applyFont="1" applyFill="1" applyBorder="1" applyAlignment="1">
      <alignment horizontal="right" vertical="center" shrinkToFit="1"/>
    </xf>
    <xf numFmtId="41" fontId="78" fillId="9" borderId="21" xfId="0" applyNumberFormat="1" applyFont="1" applyFill="1" applyBorder="1" applyAlignment="1">
      <alignment horizontal="right" vertical="center" shrinkToFit="1"/>
    </xf>
    <xf numFmtId="0" fontId="29" fillId="9" borderId="0" xfId="0" applyFont="1" applyFill="1" applyAlignment="1">
      <alignment horizontal="center" vertical="top" wrapText="1"/>
    </xf>
    <xf numFmtId="0" fontId="15" fillId="9" borderId="0" xfId="0" applyFont="1" applyFill="1" applyAlignment="1">
      <alignment horizontal="center" vertical="center" wrapText="1"/>
    </xf>
    <xf numFmtId="0" fontId="48" fillId="0" borderId="27" xfId="0" applyNumberFormat="1" applyFont="1" applyFill="1" applyBorder="1" applyAlignment="1">
      <alignment horizontal="left" vertical="center"/>
    </xf>
    <xf numFmtId="0" fontId="48" fillId="0" borderId="21" xfId="0" applyNumberFormat="1" applyFont="1" applyFill="1" applyBorder="1" applyAlignment="1">
      <alignment horizontal="left" vertical="center"/>
    </xf>
    <xf numFmtId="0" fontId="48" fillId="0" borderId="27" xfId="0" applyNumberFormat="1" applyFont="1" applyFill="1" applyBorder="1" applyAlignment="1">
      <alignment horizontal="left" vertical="center" wrapText="1"/>
    </xf>
    <xf numFmtId="0" fontId="6" fillId="9" borderId="27" xfId="54" applyFont="1" applyFill="1" applyBorder="1" applyAlignment="1">
      <alignment horizontal="left" vertical="top"/>
    </xf>
    <xf numFmtId="0" fontId="6" fillId="9" borderId="25" xfId="54" applyFont="1" applyFill="1" applyBorder="1" applyAlignment="1">
      <alignment horizontal="left" vertical="top"/>
    </xf>
    <xf numFmtId="0" fontId="6" fillId="9" borderId="21" xfId="54" applyFont="1" applyFill="1" applyBorder="1" applyAlignment="1">
      <alignment horizontal="left" vertical="top"/>
    </xf>
    <xf numFmtId="0" fontId="64" fillId="9" borderId="27" xfId="54" applyFont="1" applyFill="1" applyBorder="1" applyAlignment="1">
      <alignment horizontal="left" vertical="top"/>
    </xf>
    <xf numFmtId="0" fontId="64" fillId="9" borderId="25" xfId="54" applyFont="1" applyFill="1" applyBorder="1" applyAlignment="1">
      <alignment horizontal="left" vertical="top"/>
    </xf>
    <xf numFmtId="0" fontId="64" fillId="9" borderId="21" xfId="54" applyFont="1" applyFill="1" applyBorder="1" applyAlignment="1">
      <alignment horizontal="left" vertical="top"/>
    </xf>
    <xf numFmtId="0" fontId="48" fillId="0" borderId="3" xfId="0" applyNumberFormat="1" applyFont="1" applyFill="1" applyBorder="1" applyAlignment="1">
      <alignment horizontal="left" vertical="center"/>
    </xf>
    <xf numFmtId="0" fontId="64" fillId="9" borderId="27" xfId="54" applyFont="1" applyFill="1" applyBorder="1" applyAlignment="1">
      <alignment horizontal="left" vertical="center" wrapText="1"/>
    </xf>
    <xf numFmtId="0" fontId="64" fillId="9" borderId="21" xfId="54" applyFont="1" applyFill="1" applyBorder="1" applyAlignment="1">
      <alignment horizontal="left" vertical="center" wrapText="1"/>
    </xf>
    <xf numFmtId="0" fontId="64" fillId="9" borderId="25" xfId="54" applyFont="1" applyFill="1" applyBorder="1" applyAlignment="1">
      <alignment horizontal="left" vertical="center" wrapText="1"/>
    </xf>
    <xf numFmtId="0" fontId="7" fillId="0" borderId="0" xfId="21" quotePrefix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vertical="center"/>
      <protection locked="0"/>
    </xf>
    <xf numFmtId="0" fontId="15" fillId="0" borderId="0" xfId="0" applyNumberFormat="1" applyFont="1" applyFill="1" applyBorder="1" applyAlignment="1">
      <alignment horizontal="center" vertical="center"/>
    </xf>
    <xf numFmtId="0" fontId="64" fillId="9" borderId="27" xfId="54" applyFont="1" applyFill="1" applyBorder="1" applyAlignment="1">
      <alignment vertical="top" wrapText="1"/>
    </xf>
    <xf numFmtId="0" fontId="64" fillId="9" borderId="25" xfId="54" applyFont="1" applyFill="1" applyBorder="1" applyAlignment="1">
      <alignment vertical="top" wrapText="1"/>
    </xf>
    <xf numFmtId="0" fontId="64" fillId="9" borderId="21" xfId="54" applyFont="1" applyFill="1" applyBorder="1" applyAlignment="1">
      <alignment vertical="top" wrapText="1"/>
    </xf>
    <xf numFmtId="0" fontId="64" fillId="9" borderId="25" xfId="54" applyFont="1" applyFill="1" applyBorder="1" applyAlignment="1">
      <alignment horizontal="left" vertical="center"/>
    </xf>
    <xf numFmtId="0" fontId="64" fillId="9" borderId="21" xfId="54" applyFont="1" applyFill="1" applyBorder="1" applyAlignment="1">
      <alignment horizontal="left" vertical="center"/>
    </xf>
    <xf numFmtId="0" fontId="64" fillId="9" borderId="27" xfId="54" applyFont="1" applyFill="1" applyBorder="1" applyAlignment="1">
      <alignment horizontal="left" vertical="top" wrapText="1"/>
    </xf>
    <xf numFmtId="0" fontId="64" fillId="9" borderId="25" xfId="54" applyFont="1" applyFill="1" applyBorder="1" applyAlignment="1">
      <alignment horizontal="left" vertical="top" wrapText="1"/>
    </xf>
    <xf numFmtId="0" fontId="64" fillId="9" borderId="21" xfId="54" applyFont="1" applyFill="1" applyBorder="1" applyAlignment="1">
      <alignment horizontal="left" vertical="top" wrapText="1"/>
    </xf>
    <xf numFmtId="0" fontId="64" fillId="9" borderId="25" xfId="54" applyFont="1" applyFill="1" applyBorder="1" applyAlignment="1">
      <alignment vertical="top"/>
    </xf>
    <xf numFmtId="0" fontId="64" fillId="9" borderId="21" xfId="54" applyFont="1" applyFill="1" applyBorder="1" applyAlignment="1">
      <alignment vertical="top"/>
    </xf>
    <xf numFmtId="0" fontId="64" fillId="0" borderId="27" xfId="54" applyFont="1" applyFill="1" applyBorder="1" applyAlignment="1">
      <alignment horizontal="left" vertical="top" wrapText="1"/>
    </xf>
    <xf numFmtId="0" fontId="64" fillId="0" borderId="25" xfId="54" applyFont="1" applyFill="1" applyBorder="1" applyAlignment="1">
      <alignment horizontal="left" vertical="top" wrapText="1"/>
    </xf>
    <xf numFmtId="0" fontId="64" fillId="0" borderId="21" xfId="54" applyFont="1" applyFill="1" applyBorder="1" applyAlignment="1">
      <alignment horizontal="left" vertical="top" wrapText="1"/>
    </xf>
    <xf numFmtId="0" fontId="58" fillId="9" borderId="27" xfId="54" applyFont="1" applyFill="1" applyBorder="1" applyAlignment="1">
      <alignment horizontal="center" vertical="center"/>
    </xf>
    <xf numFmtId="0" fontId="58" fillId="9" borderId="25" xfId="54" applyFont="1" applyFill="1" applyBorder="1" applyAlignment="1">
      <alignment horizontal="center" vertical="center"/>
    </xf>
    <xf numFmtId="0" fontId="58" fillId="9" borderId="21" xfId="54" applyFont="1" applyFill="1" applyBorder="1" applyAlignment="1">
      <alignment horizontal="center" vertical="center"/>
    </xf>
    <xf numFmtId="0" fontId="64" fillId="9" borderId="27" xfId="54" applyFont="1" applyFill="1" applyBorder="1" applyAlignment="1">
      <alignment vertical="top"/>
    </xf>
    <xf numFmtId="0" fontId="93" fillId="9" borderId="27" xfId="54" applyFont="1" applyFill="1" applyBorder="1" applyAlignment="1">
      <alignment horizontal="center" vertical="center"/>
    </xf>
    <xf numFmtId="0" fontId="93" fillId="9" borderId="21" xfId="54" applyFont="1" applyFill="1" applyBorder="1" applyAlignment="1">
      <alignment horizontal="center" vertical="center"/>
    </xf>
    <xf numFmtId="0" fontId="58" fillId="9" borderId="27" xfId="54" applyFont="1" applyFill="1" applyBorder="1" applyAlignment="1">
      <alignment horizontal="left" vertical="top"/>
    </xf>
    <xf numFmtId="0" fontId="58" fillId="9" borderId="25" xfId="54" applyFont="1" applyFill="1" applyBorder="1" applyAlignment="1">
      <alignment horizontal="left" vertical="top"/>
    </xf>
    <xf numFmtId="0" fontId="58" fillId="9" borderId="21" xfId="54" applyFont="1" applyFill="1" applyBorder="1" applyAlignment="1">
      <alignment horizontal="left" vertical="top"/>
    </xf>
    <xf numFmtId="0" fontId="93" fillId="9" borderId="27" xfId="54" applyFont="1" applyFill="1" applyBorder="1" applyAlignment="1">
      <alignment horizontal="left" vertical="center" wrapText="1"/>
    </xf>
    <xf numFmtId="0" fontId="93" fillId="9" borderId="21" xfId="54" applyFont="1" applyFill="1" applyBorder="1" applyAlignment="1">
      <alignment horizontal="left" vertical="center" wrapText="1"/>
    </xf>
    <xf numFmtId="0" fontId="64" fillId="9" borderId="25" xfId="54" applyFont="1" applyFill="1" applyBorder="1" applyAlignment="1">
      <alignment horizontal="center" vertical="center" wrapText="1"/>
    </xf>
    <xf numFmtId="0" fontId="64" fillId="9" borderId="21" xfId="54" applyFont="1" applyFill="1" applyBorder="1" applyAlignment="1">
      <alignment horizontal="center" vertical="center" wrapText="1"/>
    </xf>
    <xf numFmtId="0" fontId="64" fillId="9" borderId="27" xfId="54" applyFont="1" applyFill="1" applyBorder="1" applyAlignment="1">
      <alignment horizontal="center" vertical="center"/>
    </xf>
    <xf numFmtId="0" fontId="64" fillId="9" borderId="21" xfId="54" applyFont="1" applyFill="1" applyBorder="1" applyAlignment="1">
      <alignment horizontal="center" vertical="center"/>
    </xf>
    <xf numFmtId="0" fontId="64" fillId="9" borderId="25" xfId="54" applyFont="1" applyFill="1" applyBorder="1" applyAlignment="1">
      <alignment horizontal="center" vertical="center"/>
    </xf>
    <xf numFmtId="0" fontId="91" fillId="9" borderId="27" xfId="54" applyFont="1" applyFill="1" applyBorder="1" applyAlignment="1">
      <alignment horizontal="center" vertical="center"/>
    </xf>
    <xf numFmtId="0" fontId="91" fillId="9" borderId="25" xfId="54" applyFont="1" applyFill="1" applyBorder="1" applyAlignment="1">
      <alignment horizontal="center" vertical="center"/>
    </xf>
    <xf numFmtId="0" fontId="91" fillId="9" borderId="21" xfId="54" applyFont="1" applyFill="1" applyBorder="1" applyAlignment="1">
      <alignment horizontal="center" vertical="center"/>
    </xf>
    <xf numFmtId="0" fontId="48" fillId="9" borderId="27" xfId="54" applyFont="1" applyFill="1" applyBorder="1" applyAlignment="1">
      <alignment horizontal="center" vertical="center"/>
    </xf>
    <xf numFmtId="0" fontId="48" fillId="9" borderId="21" xfId="54" applyFont="1" applyFill="1" applyBorder="1" applyAlignment="1">
      <alignment horizontal="center" vertical="center"/>
    </xf>
    <xf numFmtId="0" fontId="48" fillId="0" borderId="27" xfId="21" applyFont="1" applyBorder="1" applyAlignment="1">
      <alignment horizontal="center" vertical="center"/>
    </xf>
    <xf numFmtId="0" fontId="48" fillId="0" borderId="21" xfId="21" applyFont="1" applyBorder="1" applyAlignment="1">
      <alignment horizontal="center" vertical="center"/>
    </xf>
  </cellXfs>
  <cellStyles count="58">
    <cellStyle name="aa" xfId="1"/>
    <cellStyle name="eng" xfId="2"/>
    <cellStyle name="Grey" xfId="3"/>
    <cellStyle name="Header1" xfId="4"/>
    <cellStyle name="Header2" xfId="5"/>
    <cellStyle name="Input [yellow]" xfId="6"/>
    <cellStyle name="lu" xfId="7"/>
    <cellStyle name="name" xfId="8"/>
    <cellStyle name="Normal - Style1" xfId="9"/>
    <cellStyle name="Normal_10 Year ROI Monthly ADC" xfId="10"/>
    <cellStyle name="Percent [2]" xfId="11"/>
    <cellStyle name="Standard_Anpassen der Amortisation" xfId="12"/>
    <cellStyle name="t1" xfId="13"/>
    <cellStyle name="title" xfId="14"/>
    <cellStyle name="Währung [0]_Compiling Utility Macros" xfId="15"/>
    <cellStyle name="Währung_Compiling Utility Macros" xfId="16"/>
    <cellStyle name="一般" xfId="0" builtinId="0"/>
    <cellStyle name="一般 2" xfId="17"/>
    <cellStyle name="一般 3" xfId="18"/>
    <cellStyle name="一般 4" xfId="19"/>
    <cellStyle name="一般_DYLIN" xfId="50"/>
    <cellStyle name="一般_土方(回填)" xfId="52"/>
    <cellStyle name="一般_牛稠溪後湖堤防工程" xfId="51"/>
    <cellStyle name="一般_白沙屯預算書" xfId="53"/>
    <cellStyle name="一般_估驗詳細表92.5.25" xfId="48"/>
    <cellStyle name="一般_和社護岸_第一次變更設計預算-結算書1080726" xfId="46"/>
    <cellStyle name="一般_東埔蚋溪東延平水岸整建工程(三工區)調整單價後4100" xfId="20"/>
    <cellStyle name="一般_南溪" xfId="56"/>
    <cellStyle name="一般_第一次修正變更設計預算書-Afu-991025-ok" xfId="43"/>
    <cellStyle name="一般_預-變更表" xfId="45"/>
    <cellStyle name="一般_數量計算" xfId="21"/>
    <cellStyle name="一般_線道122線24k+600、31k+200、33k+000等三處道路改善工說明書" xfId="49"/>
    <cellStyle name="一般_興安排水三期" xfId="54"/>
    <cellStyle name="人工挖方" xfId="22"/>
    <cellStyle name="千分位 2" xfId="23"/>
    <cellStyle name="千分位 2_和社護岸_第一次變更設計預算-結算書1080726" xfId="47"/>
    <cellStyle name="千分位 3" xfId="44"/>
    <cellStyle name="千分位[0]" xfId="24" builtinId="6"/>
    <cellStyle name="千分位_興安排水三期" xfId="55"/>
    <cellStyle name="未定義" xfId="25"/>
    <cellStyle name="百分比" xfId="57" builtinId="5"/>
    <cellStyle name="估驗明細" xfId="26"/>
    <cellStyle name="估驗計價" xfId="27"/>
    <cellStyle name="初驗報告" xfId="28"/>
    <cellStyle name="挖方" xfId="29"/>
    <cellStyle name="基本單價" xfId="30"/>
    <cellStyle name="貨幣 2" xfId="31"/>
    <cellStyle name="貨幣[0]" xfId="32"/>
    <cellStyle name="單價分析表表格[1]" xfId="33"/>
    <cellStyle name="復工報告" xfId="34"/>
    <cellStyle name="竣工報告" xfId="35"/>
    <cellStyle name="開工報告" xfId="36"/>
    <cellStyle name="詳細表" xfId="37"/>
    <cellStyle name="標題式" xfId="39"/>
    <cellStyle name="樣式 1" xfId="38"/>
    <cellStyle name="機械挖方" xfId="40"/>
    <cellStyle name="變更詳細" xfId="41"/>
    <cellStyle name="驗收證明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externalLink" Target="externalLinks/externalLink26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42" Type="http://schemas.openxmlformats.org/officeDocument/2006/relationships/externalLink" Target="externalLinks/externalLink29.xml"/><Relationship Id="rId47" Type="http://schemas.openxmlformats.org/officeDocument/2006/relationships/externalLink" Target="externalLinks/externalLink34.xml"/><Relationship Id="rId50" Type="http://schemas.openxmlformats.org/officeDocument/2006/relationships/externalLink" Target="externalLinks/externalLink37.xml"/><Relationship Id="rId55" Type="http://schemas.openxmlformats.org/officeDocument/2006/relationships/externalLink" Target="externalLinks/externalLink42.xml"/><Relationship Id="rId63" Type="http://schemas.openxmlformats.org/officeDocument/2006/relationships/externalLink" Target="externalLinks/externalLink50.xml"/><Relationship Id="rId68" Type="http://schemas.openxmlformats.org/officeDocument/2006/relationships/externalLink" Target="externalLinks/externalLink55.xml"/><Relationship Id="rId76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5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externalLink" Target="externalLinks/externalLink24.xml"/><Relationship Id="rId40" Type="http://schemas.openxmlformats.org/officeDocument/2006/relationships/externalLink" Target="externalLinks/externalLink27.xml"/><Relationship Id="rId45" Type="http://schemas.openxmlformats.org/officeDocument/2006/relationships/externalLink" Target="externalLinks/externalLink32.xml"/><Relationship Id="rId53" Type="http://schemas.openxmlformats.org/officeDocument/2006/relationships/externalLink" Target="externalLinks/externalLink40.xml"/><Relationship Id="rId58" Type="http://schemas.openxmlformats.org/officeDocument/2006/relationships/externalLink" Target="externalLinks/externalLink45.xml"/><Relationship Id="rId66" Type="http://schemas.openxmlformats.org/officeDocument/2006/relationships/externalLink" Target="externalLinks/externalLink53.xml"/><Relationship Id="rId74" Type="http://schemas.openxmlformats.org/officeDocument/2006/relationships/externalLink" Target="externalLinks/externalLink61.xml"/><Relationship Id="rId79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4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4" Type="http://schemas.openxmlformats.org/officeDocument/2006/relationships/externalLink" Target="externalLinks/externalLink31.xml"/><Relationship Id="rId52" Type="http://schemas.openxmlformats.org/officeDocument/2006/relationships/externalLink" Target="externalLinks/externalLink39.xml"/><Relationship Id="rId60" Type="http://schemas.openxmlformats.org/officeDocument/2006/relationships/externalLink" Target="externalLinks/externalLink47.xml"/><Relationship Id="rId65" Type="http://schemas.openxmlformats.org/officeDocument/2006/relationships/externalLink" Target="externalLinks/externalLink52.xml"/><Relationship Id="rId73" Type="http://schemas.openxmlformats.org/officeDocument/2006/relationships/externalLink" Target="externalLinks/externalLink60.xml"/><Relationship Id="rId7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externalLink" Target="externalLinks/externalLink22.xml"/><Relationship Id="rId43" Type="http://schemas.openxmlformats.org/officeDocument/2006/relationships/externalLink" Target="externalLinks/externalLink30.xml"/><Relationship Id="rId48" Type="http://schemas.openxmlformats.org/officeDocument/2006/relationships/externalLink" Target="externalLinks/externalLink35.xml"/><Relationship Id="rId56" Type="http://schemas.openxmlformats.org/officeDocument/2006/relationships/externalLink" Target="externalLinks/externalLink43.xml"/><Relationship Id="rId64" Type="http://schemas.openxmlformats.org/officeDocument/2006/relationships/externalLink" Target="externalLinks/externalLink51.xml"/><Relationship Id="rId69" Type="http://schemas.openxmlformats.org/officeDocument/2006/relationships/externalLink" Target="externalLinks/externalLink56.xml"/><Relationship Id="rId77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8.xml"/><Relationship Id="rId72" Type="http://schemas.openxmlformats.org/officeDocument/2006/relationships/externalLink" Target="externalLinks/externalLink59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externalLink" Target="externalLinks/externalLink25.xml"/><Relationship Id="rId46" Type="http://schemas.openxmlformats.org/officeDocument/2006/relationships/externalLink" Target="externalLinks/externalLink33.xml"/><Relationship Id="rId59" Type="http://schemas.openxmlformats.org/officeDocument/2006/relationships/externalLink" Target="externalLinks/externalLink46.xml"/><Relationship Id="rId67" Type="http://schemas.openxmlformats.org/officeDocument/2006/relationships/externalLink" Target="externalLinks/externalLink54.xml"/><Relationship Id="rId20" Type="http://schemas.openxmlformats.org/officeDocument/2006/relationships/externalLink" Target="externalLinks/externalLink7.xml"/><Relationship Id="rId41" Type="http://schemas.openxmlformats.org/officeDocument/2006/relationships/externalLink" Target="externalLinks/externalLink28.xml"/><Relationship Id="rId54" Type="http://schemas.openxmlformats.org/officeDocument/2006/relationships/externalLink" Target="externalLinks/externalLink41.xml"/><Relationship Id="rId62" Type="http://schemas.openxmlformats.org/officeDocument/2006/relationships/externalLink" Target="externalLinks/externalLink49.xml"/><Relationship Id="rId70" Type="http://schemas.openxmlformats.org/officeDocument/2006/relationships/externalLink" Target="externalLinks/externalLink57.xml"/><Relationship Id="rId75" Type="http://schemas.openxmlformats.org/officeDocument/2006/relationships/externalLink" Target="externalLinks/externalLink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externalLink" Target="externalLinks/externalLink23.xml"/><Relationship Id="rId49" Type="http://schemas.openxmlformats.org/officeDocument/2006/relationships/externalLink" Target="externalLinks/externalLink36.xml"/><Relationship Id="rId57" Type="http://schemas.openxmlformats.org/officeDocument/2006/relationships/externalLink" Target="externalLinks/externalLink4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1934;&#20729;&#20998;&#26512;&#34920;(1-11)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MI\DATA\CYH\CHISAN\DOC\BGT-GAT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MI\APP\USR\LMC\TPGM\TPGM1\TAIP\WRL\CHISAN\BGT-GAT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6032;&#35920;&#27211;-&#20462;&#27491;\My%20Documents\Book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MI\DATA\WRL\CHISAN\BGT-GAT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y%20Documents\Book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USR\LMC\TPGM\TPGM1\TAIP\WRL\CHISAN\BGT-GATE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nologynas\03.&#24037;&#21209;&#37096;\po%20hung%20&#30340;&#25991;&#20214;\&#29579;&#27946;&#26126;\&#28609;&#27700;&#28330;&#35199;&#34746;&#22564;&#38450;&#39640;&#28760;&#22320;&#29872;&#22659;&#25913;&#21892;&#24037;&#31243;\&#28609;&#27700;&#28330;&#35199;&#34746;&#22564;&#38450;&#39640;&#28760;&#22320;&#29872;&#22659;&#25913;&#21892;&#24037;&#31243;&#38928;&#31639;&#26360;\&#31532;&#22235;&#27827;&#24029;&#23616;\WRL\CHISAN\BGT-GATE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104\&#36039;&#35338;&#36039;&#28304;&#20849;&#20139;&#21312;\po%20hung%20&#30340;&#25991;&#20214;\&#29579;&#27946;&#26126;\&#28609;&#27700;&#28330;&#35199;&#34746;&#22564;&#38450;&#39640;&#28760;&#22320;&#29872;&#22659;&#25913;&#21892;&#24037;&#31243;\&#28609;&#27700;&#28330;&#35199;&#34746;&#22564;&#38450;&#39640;&#28760;&#22320;&#29872;&#22659;&#25913;&#21892;&#24037;&#31243;&#38928;&#31639;&#26360;\&#31532;&#22235;&#27827;&#24029;&#23616;\WRL\CHISAN\BGT-GAT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1315;&#40667;\&#26412;&#27231;&#30913;&#30879;%20(d)\My%20Documents\&#26481;&#22484;&#34443;&#28330;&#24310;&#24179;&#22564;&#38450;\92.12&#26376;&#29256;\My%20Documents\&#26481;&#22484;&#34443;&#28330;&#24310;&#24179;&#22564;&#38450;\&#24037;&#26989;&#31649;&#36335;&#22303;&#24314;pcces\&#24037;&#26989;&#31649;&#36335;\&#31532;&#19971;&#31449;&#31400;&#20117;\WRL\CHISAN\BGT-GAT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104\&#36039;&#35338;&#36039;&#28304;&#20849;&#20139;&#21312;\po%20hung%20&#30340;&#25991;&#20214;\&#29579;&#27946;&#26126;\&#28609;&#27700;&#28330;&#35199;&#34746;&#22564;&#38450;&#39640;&#28760;&#22320;&#29872;&#22659;&#25913;&#21892;&#24037;&#31243;\&#28609;&#27700;&#28330;&#35199;&#34746;&#22564;&#38450;&#39640;&#28760;&#22320;&#29872;&#22659;&#25913;&#21892;&#24037;&#31243;&#38928;&#31639;&#26360;\&#31532;&#22235;&#27827;&#24029;&#23616;\&#24037;&#26989;&#31649;&#36335;\&#31532;&#19971;&#31449;&#31400;&#20117;\WRL\CHISAN\BGT-GA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mi\app\WRL\CHISAN\BGT-GA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nologynas\03.&#24037;&#21209;&#37096;\po%20hung%20&#30340;&#25991;&#20214;\&#29579;&#27946;&#26126;\&#28609;&#27700;&#28330;&#35199;&#34746;&#22564;&#38450;&#39640;&#28760;&#22320;&#29872;&#22659;&#25913;&#21892;&#24037;&#31243;\&#28609;&#27700;&#28330;&#35199;&#34746;&#22564;&#38450;&#39640;&#28760;&#22320;&#29872;&#22659;&#25913;&#21892;&#24037;&#31243;&#38928;&#31639;&#26360;\&#31532;&#22235;&#27827;&#24029;&#23616;\&#24037;&#26989;&#31649;&#36335;\&#31532;&#19971;&#31449;&#31400;&#20117;\WRL\CHISAN\BGT-GAT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4037;&#31243;&#38928;&#31639;&#26360;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t1\f\0JOB\&#22823;&#30002;&#40654;&#26126;&#36335;\&#30332;&#21253;&#36865;&#20214;0522\0522&#22823;&#30002;&#40654;&#26126;&#36335;&#38928;&#31639;&#2636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00new\&#26412;&#27231;&#30913;&#30879;%20(d)\99W31\SI-END\CD\&#31532;&#20108;&#27425;&#35722;&#26356;\&#25976;&#37327;&#35336;&#31639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22823;&#38603;\Documents%20and%20Settings\Administrator\&#26700;&#38754;\WRL\MIS\BG8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n2\d\87\&#22303;&#24235;&#37806;&#20844;&#25152;\87lb024\87LB001\&#22500;&#33139;&#37324;&#36947;&#36335;&#20596;&#28317;&#25913;&#21892;&#24037;&#31243;&#32080;&#31639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3\&#23567;&#39640;&#22969;\JOB\CC\CC005ML\cc005-1\de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99W31\SI-END\CD\&#31532;&#20108;&#27425;&#35722;&#26356;\&#25976;&#37327;&#35336;&#31639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VE5\&#29503;&#29492;&#30340;\excel&#27284;&#26696;\&#21335;&#25237;&#24066;&#20844;&#25152;\&#24489;&#33288;&#36335;&#25490;&#27700;&#28317;&#25972;&#20462;&#24037;&#31243;1xls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S47\XLS\ANALYS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1315;&#40667;\&#26412;&#27231;&#30913;&#30879;%20(d)\My%20Documents\&#26481;&#22484;&#34443;&#28330;&#24310;&#24179;&#22564;&#38450;\92.12&#26376;&#29256;\My%20Documents\&#26481;&#22484;&#34443;&#28330;&#24310;&#24179;&#22564;&#38450;\&#24037;&#26989;&#31649;&#36335;&#22303;&#24314;pcces\&#24037;&#26989;&#31649;&#36335;\&#31532;&#19971;&#31449;&#31400;&#20117;\WRL\MIS\BG8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1315;&#40667;\&#26412;&#27231;&#30913;&#30879;%20(d)\WU\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104\&#36039;&#35338;&#36039;&#28304;&#20849;&#20139;&#21312;\WU\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nologynas\03.&#24037;&#21209;&#37096;\WU\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nologynas\03.&#24037;&#21209;&#37096;\Documents%20and%20Settings\1425\&#26700;&#38754;\&#36774;&#29702;&#20013;&#24037;&#31243;\1%20&#38463;&#37324;&#23665;66&#26519;&#29677;&#37326;&#28330;&#25972;&#27835;&#24037;&#31243;(&#25237;&#25391;-7)538-25\&#24037;&#31243;&#38928;&#31639;&#26360;&#31684;&#26412;\&#24859;&#22283;&#26449;&#38918;&#24179;&#24055;&#23849;&#22604;&#22320;&#34389;&#29702;&#24037;&#31243;&#22303;&#26041;&#35430;&#31639;&#34920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104\&#36039;&#35338;&#36039;&#28304;&#20849;&#20139;&#21312;\Documents%20and%20Settings\1425\&#26700;&#38754;\&#36774;&#29702;&#20013;&#24037;&#31243;\1%20&#38463;&#37324;&#23665;66&#26519;&#29677;&#37326;&#28330;&#25972;&#27835;&#24037;&#31243;(&#25237;&#25391;-7)538-25\&#24037;&#31243;&#38928;&#31639;&#26360;&#31684;&#26412;\&#24859;&#22283;&#26449;&#38918;&#24179;&#24055;&#23849;&#22604;&#22320;&#34389;&#29702;&#24037;&#31243;&#22303;&#26041;&#35430;&#31639;&#34920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t1\f\Lj\lj0060\lj0060-&#38928;&#31639;&#26360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t1\f\&#20844;24-131C-42K.87\&#32048;&#27493;&#35373;&#35336;\131C&#38928;&#31639;&#26360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MI\APP\USR\LMC\TPGM\TPGM1\TAIP\WRL\MIS\BG8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R\LMC\TPGM\TPGM1\TAIP\WRL\MIS\BG8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22823;&#38603;\Documents%20and%20Settings\Administrator\&#26700;&#38754;\My%20Documents\&#12304;&#21335;&#25237;&#24066;&#20844;&#25152;&#12305;\&#33290;&#36039;&#26009;\EXCEL\&#35722;&#26356;&#35373;&#35336;\&#21335;&#25237;&#24066;&#20161;&#21644;&#37324;&#36335;&#38754;&#25490;&#27700;&#28317;&#25913;&#21892;&#24037;&#31243;(&#35722;&#26356;&#35373;&#35336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mi\app\TC\SBK8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ve0\d\&#38463;&#26119;&#30340;EXCEL%20&#27284;&#26696;\&#20449;&#32681;&#37129;&#20844;&#25152;\&#21335;&#25237;&#24066;&#20844;&#25152;\&#21335;&#25237;&#32291;&#21335;&#25237;&#24066;&#35037;&#35373;&#27704;&#35920;&#20844;&#22290;&#20839;&#36938;&#27138;&#35373;&#26045;&#21450;&#28092;&#20141;&#21152;&#33995;&#24037;&#31243;(15&#33836;)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nologynas\03.&#24037;&#21209;&#37096;\po%20hung%20&#30340;&#25991;&#20214;\&#29579;&#27946;&#26126;\&#28609;&#27700;&#28330;&#35199;&#34746;&#22564;&#38450;&#39640;&#28760;&#22320;&#29872;&#22659;&#25913;&#21892;&#24037;&#31243;\&#28609;&#27700;&#28330;&#35199;&#34746;&#22564;&#38450;&#39640;&#28760;&#22320;&#29872;&#22659;&#25913;&#21892;&#24037;&#31243;&#38928;&#31639;&#26360;\&#31532;&#22235;&#27827;&#24029;&#23616;\USR\LMC\TPGM\TPGM1\TAIP\WRL\CHISAN\BGT-GATE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104\&#36039;&#35338;&#36039;&#28304;&#20849;&#20139;&#21312;\po%20hung%20&#30340;&#25991;&#20214;\&#29579;&#27946;&#26126;\&#28609;&#27700;&#28330;&#35199;&#34746;&#22564;&#38450;&#39640;&#28760;&#22320;&#29872;&#22659;&#25913;&#21892;&#24037;&#31243;\&#28609;&#27700;&#28330;&#35199;&#34746;&#22564;&#38450;&#39640;&#28760;&#22320;&#29872;&#22659;&#25913;&#21892;&#24037;&#31243;&#38928;&#31639;&#26360;\&#31532;&#22235;&#27827;&#24029;&#23616;\USR\LMC\TPGM\TPGM1\TAIP\WRL\CHISAN\BGT-GATE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nologynas\03.&#24037;&#21209;&#37096;\po%20hung%20&#30340;&#25991;&#20214;\&#29579;&#27946;&#26126;\&#28609;&#27700;&#28330;&#35199;&#34746;&#22564;&#38450;&#39640;&#28760;&#22320;&#29872;&#22659;&#25913;&#21892;&#24037;&#31243;\&#28609;&#27700;&#28330;&#35199;&#34746;&#22564;&#38450;&#39640;&#28760;&#22320;&#29872;&#22659;&#25913;&#21892;&#24037;&#31243;&#38928;&#31639;&#26360;\&#31532;&#22235;&#27827;&#24029;&#23616;\USR\LMC\TPGM\TPGM1\TAIP\WRL\MIS\BG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104\&#36039;&#35338;&#36039;&#28304;&#20849;&#20139;&#21312;\po%20hung%20&#30340;&#25991;&#20214;\&#29579;&#27946;&#26126;\&#28609;&#27700;&#28330;&#35199;&#34746;&#22564;&#38450;&#39640;&#28760;&#22320;&#29872;&#22659;&#25913;&#21892;&#24037;&#31243;\&#28609;&#27700;&#28330;&#35199;&#34746;&#22564;&#38450;&#39640;&#28760;&#22320;&#29872;&#22659;&#25913;&#21892;&#24037;&#31243;&#38928;&#31639;&#26360;\&#31532;&#22235;&#27827;&#24029;&#23616;\USR\LMC\TPGM\TPGM1\TAIP\WRL\MIS\BG8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R\LMC\TPGM\TPGM1\TAIP\WRL\CHISAN\BGT-GATE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USR\LMC\TPGM\TPGM1\TAIP\WRL\MIS\BG8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t1\f\&#31481;&#22353;&#31561;&#22235;&#20214;\&#19971;&#32929;&#22353;&#28317;\D&#35336;&#21123;&#26360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9977;&#35506;(&#27946;&#23815;&#20161;)\D\&#27946;&#23815;&#20161;\&#38928;&#31639;&#26360;&#32232;&#35069;\&#24037;&#31243;&#32232;&#35069;new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104\&#36039;&#35338;&#36039;&#28304;&#20849;&#20139;&#21312;\01.&#27700;&#22303;&#20445;&#25345;&#23616;\&#33495;&#26647;&#32291;&#38012;&#37509;&#37129;&#38263;&#31591;&#37326;&#28330;&#25972;&#27835;&#20108;&#26399;&#24037;&#31243;\&#38263;&#31591;&#38928;&#31639;&#2636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mi\app\WRL\MIS\BG8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nologynas\03.&#24037;&#21209;&#37096;\01.&#27700;&#22303;&#20445;&#25345;&#23616;\&#33495;&#26647;&#32291;&#38012;&#37509;&#37129;&#38263;&#31591;&#37326;&#28330;&#25972;&#27835;&#20108;&#26399;&#24037;&#31243;\&#38263;&#31591;&#38928;&#31639;&#26360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VE3\&#38515;&#21733;&#30340;&#23478;%20(C)\My%20Documents\&#21335;&#25237;&#24066;&#36557;&#21151;&#37324;&#30334;&#22995;&#23470;&#28092;&#20141;&#25913;&#21892;&#24037;&#31243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t1\f\&#20844;24-131C-42K.87\&#32048;&#27493;&#35373;&#35336;\131-42K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6032;&#35920;&#27211;-&#20462;&#27491;\My%20Documents\ygl\&#21488;&#20013;&#32291;\&#23450;&#26696;DWG\SW\sw&#38928;&#31639;&#26360;end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y%20Documents\ygl\&#21488;&#20013;&#32291;\&#23450;&#26696;DWG\SW\sw&#38928;&#31639;&#26360;end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IC\SYS\WORK\EEE\E050-5\E050-5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00new\&#26412;&#27231;&#30913;&#30879;%20(d)\Ygl\91\27-5&#29872;&#26449;&#36335;&#38928;&#31639;&#26360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ATA\&#23567;&#21129;&#20633;&#20221;&#27284;89.11~91.02\&#21335;&#25237;&#32291;&#25919;&#24220;\&#38928;&#31639;&#26360;\&#21335;&#25237;&#32291;&#25919;&#24220;\&#27770;&#31639;&#26360;\&#20195;&#22825;&#23470;&#21069;&#22823;&#25490;&#27700;&#28317;&#25913;&#21892;&#24037;&#31243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104\&#36039;&#35338;&#36039;&#28304;&#20849;&#20139;&#21312;\po%20hung%20&#30340;&#25991;&#20214;\&#29579;&#27946;&#26126;\&#28609;&#27700;&#28330;&#35199;&#34746;&#22564;&#38450;&#39640;&#28760;&#22320;&#29872;&#22659;&#25913;&#21892;&#24037;&#31243;\&#28609;&#27700;&#28330;&#35199;&#34746;&#22564;&#38450;&#39640;&#28760;&#22320;&#29872;&#22659;&#25913;&#21892;&#24037;&#31243;&#38928;&#31639;&#26360;\&#31532;&#22235;&#27827;&#24029;&#23616;\91\27-5&#29872;&#26449;&#36335;&#38928;&#31639;&#26360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nologynas\03.&#24037;&#21209;&#37096;\po%20hung%20&#30340;&#25991;&#20214;\&#29579;&#27946;&#26126;\&#28609;&#27700;&#28330;&#35199;&#34746;&#22564;&#38450;&#39640;&#28760;&#22320;&#29872;&#22659;&#25913;&#21892;&#24037;&#31243;\&#28609;&#27700;&#28330;&#35199;&#34746;&#22564;&#38450;&#39640;&#28760;&#22320;&#29872;&#22659;&#25913;&#21892;&#24037;&#31243;&#38928;&#31639;&#26360;\&#31532;&#22235;&#27827;&#24029;&#23616;\91\27-5&#29872;&#26449;&#36335;&#38928;&#31639;&#2636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104\&#36039;&#35338;&#36039;&#28304;&#20849;&#20139;&#21312;\&#24037;&#26989;&#31649;&#36335;\&#31532;&#19971;&#31449;&#31400;&#20117;\WRL\MIS\BG8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1315;&#40667;\&#26412;&#27231;&#30913;&#30879;%20(d)\Ygl\91\27-5&#29872;&#26449;&#36335;&#38928;&#31639;&#26360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jnet\d\My%20Documents\&#21517;&#38291;\&#21729;&#38598;&#36335;&#24373;&#26564;&#29004;....&#35722;&#26356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5449;&#23447;&#23731;\91&#30435;&#36896;&#26696;&#20214;\90&#38928;&#31639;&#26360;&#27284;&#26696;\&#38598;&#38598;&#37806;&#20844;&#25152;\(&#20061;&#26885;)(&#21313;&#20116;&#20221;)&#24037;&#3124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nologynas\03.&#24037;&#21209;&#37096;\&#24037;&#26989;&#31649;&#36335;\&#31532;&#19971;&#31449;&#31400;&#20117;\WRL\MIS\BG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feng3\i\EXCEL5\TMP\MADSU.XLQ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EXCEL5\TMP\MADSU.XLQ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單價分析表(1-11)"/>
      <sheetName val="基本資料"/>
      <sheetName val="初稿審查意見處理表"/>
      <sheetName val="初稿審核單"/>
      <sheetName val="封面"/>
      <sheetName val="工程計畫說明書"/>
      <sheetName val="預算書總表"/>
      <sheetName val="主體工程費"/>
      <sheetName val="雜項工程費"/>
      <sheetName val="環境保護措施費"/>
      <sheetName val="品質檢驗費"/>
      <sheetName val="勞工安全衛生費"/>
      <sheetName val="單價分析表1"/>
      <sheetName val="單價分析表2"/>
      <sheetName val="單價分析表3 "/>
      <sheetName val="單價分析表4"/>
      <sheetName val="單價分析表5"/>
      <sheetName val="單價分析表6"/>
      <sheetName val="單價計算表"/>
      <sheetName val="工程數量總表A4"/>
      <sheetName val="數量計算表"/>
      <sheetName val="土石方計算表"/>
      <sheetName val="計算空污費表"/>
      <sheetName val="空污費"/>
      <sheetName val="工期分析表"/>
      <sheetName val="預定進度表"/>
      <sheetName val="注意事項"/>
      <sheetName val="施工補充說明書封面"/>
      <sheetName val="剩餘土石方運棄計畫表"/>
      <sheetName val="各處所地點"/>
      <sheetName val="單價分析表_1_11_"/>
      <sheetName val="工程預算書"/>
      <sheetName val="修改"/>
      <sheetName val="工程計算表"/>
      <sheetName val="材料表"/>
      <sheetName val="預算明細表"/>
      <sheetName val="U型溝暗溝 (0.6X1.3)"/>
      <sheetName val="資料庫"/>
      <sheetName val="計1"/>
      <sheetName val="單價分析表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單價分析表(1-11)"/>
      <sheetName val="單價分析表_1_11_"/>
      <sheetName val="12(31)"/>
      <sheetName val="1(1)"/>
      <sheetName val="1(2)"/>
      <sheetName val="1(3)"/>
      <sheetName val="1(4)"/>
      <sheetName val="1(5)"/>
      <sheetName val="1(6)"/>
      <sheetName val="12(24)"/>
      <sheetName val="12(25)"/>
      <sheetName val="12(26)"/>
      <sheetName val="12(27)"/>
      <sheetName val="12(28)"/>
      <sheetName val="12(29)"/>
      <sheetName val="12(30)"/>
      <sheetName val="單價分析表"/>
      <sheetName val="合約2"/>
      <sheetName val="單價總表"/>
      <sheetName val="工程預算書"/>
      <sheetName val="BGT-GATE"/>
      <sheetName val="經費總表"/>
      <sheetName val="分年經費"/>
      <sheetName val="成本明細(方案一)"/>
      <sheetName val="成本明細(方案二)"/>
      <sheetName val="基本單價說明"/>
      <sheetName val="基本資料表"/>
      <sheetName val="工程預算書 "/>
      <sheetName val="鋼筋明細表"/>
      <sheetName val="計劃書"/>
      <sheetName val="預算書"/>
      <sheetName val="費率表"/>
      <sheetName val="工料單價表"/>
      <sheetName val="材料單價"/>
      <sheetName val="工程數量計算"/>
      <sheetName val="土石方"/>
      <sheetName val="鋼筋統計表"/>
      <sheetName val="A6-面積數量計算表"/>
      <sheetName val="A7體積數量計算表"/>
      <sheetName val="右岸"/>
      <sheetName val="左岸"/>
      <sheetName val="左右岸"/>
      <sheetName val="右排"/>
      <sheetName val="左No1"/>
      <sheetName val="左No2"/>
      <sheetName val="合計"/>
      <sheetName val="預算明細表"/>
      <sheetName val="項目分析(備用)"/>
      <sheetName val="項目分析"/>
      <sheetName val="資料庫"/>
      <sheetName val="發包檔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經費總表"/>
      <sheetName val="分年經費"/>
      <sheetName val="成本明細(方案一)"/>
      <sheetName val="成本明細(方案二)"/>
      <sheetName val="基本單價說明"/>
      <sheetName val="單價分析表(1-11)"/>
      <sheetName val="單價分析表_1_11_"/>
      <sheetName val="基本資料表"/>
      <sheetName val="_x0000_"/>
      <sheetName val="?"/>
      <sheetName val="預算資源統計表"/>
      <sheetName val="Sheet2"/>
      <sheetName val="B"/>
      <sheetName val="E85D014"/>
      <sheetName val="12(31)"/>
      <sheetName val="1(1)"/>
      <sheetName val="1(2)"/>
      <sheetName val="1(3)"/>
      <sheetName val="1(4)"/>
      <sheetName val="1(5)"/>
      <sheetName val="1(6)"/>
      <sheetName val="12(24)"/>
      <sheetName val="12(25)"/>
      <sheetName val="12(26)"/>
      <sheetName val="12(27)"/>
      <sheetName val="12(28)"/>
      <sheetName val="12(29)"/>
      <sheetName val="12(30)"/>
      <sheetName val="單價分析表"/>
      <sheetName val="合約2"/>
      <sheetName val="單價總表"/>
      <sheetName val="工程預算書"/>
      <sheetName val="BGT-GATE"/>
      <sheetName val="右岸"/>
      <sheetName val="左岸"/>
      <sheetName val="左右岸"/>
      <sheetName val="右排"/>
      <sheetName val="左No1"/>
      <sheetName val="左No2"/>
      <sheetName val="合計"/>
      <sheetName val="工程預算書 "/>
      <sheetName val="鋼筋明細表"/>
      <sheetName val="計劃書"/>
      <sheetName val="預算書"/>
      <sheetName val="費率表"/>
      <sheetName val="工料單價表"/>
      <sheetName val="材料單價"/>
      <sheetName val="工程數量計算"/>
      <sheetName val="土石方"/>
      <sheetName val="鋼筋統計表"/>
      <sheetName val="表"/>
      <sheetName val="單價"/>
      <sheetName val="預算書10"/>
      <sheetName val="單價分析(包商用)"/>
      <sheetName val="單價分析"/>
      <sheetName val="_"/>
      <sheetName val="預算明細表"/>
      <sheetName val="預算"/>
      <sheetName val="封面"/>
      <sheetName val="資料庫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單價分析表(1-11)"/>
      <sheetName val="#REF"/>
      <sheetName val="單價分析"/>
      <sheetName val="工程預算書"/>
      <sheetName val="Book1"/>
      <sheetName val="St2"/>
      <sheetName val="St3"/>
      <sheetName val="St4"/>
      <sheetName val="St5"/>
      <sheetName val="St6"/>
      <sheetName val="St7"/>
      <sheetName val="St8"/>
      <sheetName val="St9"/>
      <sheetName val="St10"/>
      <sheetName val="St11"/>
      <sheetName val="St12"/>
      <sheetName val="St13"/>
      <sheetName val="St14"/>
      <sheetName val="St15"/>
      <sheetName val="St16"/>
      <sheetName val="St17 "/>
      <sheetName val="St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單價分析表(1-11)"/>
      <sheetName val="經費總表"/>
      <sheetName val="分年經費"/>
      <sheetName val="成本明細(方案一)"/>
      <sheetName val="成本明細(方案二)"/>
      <sheetName val="基本單價說明"/>
      <sheetName val="基本資料表"/>
      <sheetName val="工程預算書"/>
      <sheetName val="預算"/>
      <sheetName val="封面"/>
      <sheetName val="工程預算書 "/>
      <sheetName val="單價分析表_1_11_"/>
      <sheetName val="12(31)"/>
      <sheetName val="1(1)"/>
      <sheetName val="1(2)"/>
      <sheetName val="1(3)"/>
      <sheetName val="1(4)"/>
      <sheetName val="1(5)"/>
      <sheetName val="1(6)"/>
      <sheetName val="12(24)"/>
      <sheetName val="12(25)"/>
      <sheetName val="12(26)"/>
      <sheetName val="12(27)"/>
      <sheetName val="12(28)"/>
      <sheetName val="12(29)"/>
      <sheetName val="12(30)"/>
      <sheetName val="單價分析表"/>
      <sheetName val="合約2"/>
      <sheetName val="單價總表"/>
      <sheetName val="BGT-GATE"/>
      <sheetName val="鋼筋明細表"/>
      <sheetName val="計劃書"/>
      <sheetName val="預算書"/>
      <sheetName val="費率表"/>
      <sheetName val="工料單價表"/>
      <sheetName val="材料單價"/>
      <sheetName val="工程數量計算"/>
      <sheetName val="土石方"/>
      <sheetName val="鋼筋統計表"/>
      <sheetName val="預算明細表"/>
      <sheetName val="Sheet2"/>
      <sheetName val="工程資料"/>
      <sheetName val="進度(日)"/>
      <sheetName val="施工封面"/>
      <sheetName val="0530"/>
      <sheetName val="0531"/>
      <sheetName val="0601"/>
      <sheetName val="0602"/>
      <sheetName val="0603"/>
      <sheetName val="0604"/>
      <sheetName val="0605"/>
      <sheetName val="0606"/>
      <sheetName val="0607"/>
      <sheetName val="0608"/>
      <sheetName val="0609"/>
      <sheetName val="0610"/>
      <sheetName val="0611"/>
      <sheetName val="0612"/>
      <sheetName val="0613"/>
      <sheetName val="0614"/>
      <sheetName val="0615"/>
      <sheetName val="0616"/>
      <sheetName val="0617"/>
      <sheetName val="0618"/>
      <sheetName val="0619"/>
      <sheetName val="0620"/>
      <sheetName val="0621"/>
      <sheetName val="0622ok"/>
      <sheetName val="0623"/>
      <sheetName val="0624"/>
      <sheetName val="0625"/>
      <sheetName val="0626"/>
      <sheetName val="0627"/>
      <sheetName val="0628"/>
      <sheetName val="0629"/>
      <sheetName val="0630"/>
      <sheetName val="0701"/>
      <sheetName val="0702"/>
      <sheetName val="0703"/>
      <sheetName val="0704"/>
      <sheetName val="0705"/>
      <sheetName val="0706"/>
      <sheetName val="0707"/>
      <sheetName val="0708"/>
      <sheetName val="0709"/>
      <sheetName val="0710"/>
      <sheetName val="0711"/>
      <sheetName val="0712"/>
      <sheetName val="0713"/>
      <sheetName val="0714"/>
      <sheetName val="0715"/>
      <sheetName val="0716"/>
      <sheetName val="0717"/>
      <sheetName val="0718"/>
      <sheetName val="0719"/>
      <sheetName val="0720"/>
      <sheetName val="0721"/>
      <sheetName val="0722"/>
      <sheetName val="0723"/>
      <sheetName val="0724"/>
      <sheetName val="0725"/>
      <sheetName val="0726"/>
      <sheetName val="0727"/>
      <sheetName val="0728"/>
      <sheetName val="0729"/>
      <sheetName val="0730"/>
      <sheetName val="0731"/>
      <sheetName val="0801"/>
      <sheetName val="0802"/>
      <sheetName val="0803"/>
      <sheetName val="0804"/>
      <sheetName val="0805"/>
      <sheetName val="0806"/>
      <sheetName val="0807"/>
      <sheetName val="0808"/>
      <sheetName val="0809"/>
      <sheetName val="0810"/>
      <sheetName val="0811"/>
      <sheetName val="0812"/>
      <sheetName val="0813"/>
      <sheetName val="0814"/>
      <sheetName val="0815"/>
      <sheetName val="0816"/>
      <sheetName val="0817"/>
      <sheetName val="0818"/>
      <sheetName val="0819"/>
      <sheetName val="0820"/>
      <sheetName val="0821"/>
      <sheetName val="0822"/>
      <sheetName val="0823"/>
      <sheetName val="0824"/>
      <sheetName val="0825"/>
      <sheetName val="0826"/>
      <sheetName val="0827"/>
      <sheetName val="0828"/>
      <sheetName val="0829"/>
      <sheetName val="0830"/>
      <sheetName val="0831"/>
      <sheetName val="0901"/>
      <sheetName val="0902"/>
      <sheetName val="0903"/>
      <sheetName val="0904"/>
      <sheetName val="0905"/>
      <sheetName val="0906"/>
      <sheetName val="0907"/>
      <sheetName val="0908"/>
      <sheetName val="資料庫日"/>
      <sheetName val="各部完成"/>
      <sheetName val="坍度"/>
      <sheetName val="基本單價"/>
      <sheetName val="分析資料"/>
      <sheetName val="預算資源統計表"/>
      <sheetName val="右岸"/>
      <sheetName val="左岸"/>
      <sheetName val="左右岸"/>
      <sheetName val="右排"/>
      <sheetName val="左No1"/>
      <sheetName val="左No2"/>
      <sheetName val="合計"/>
      <sheetName val="_x0000_"/>
      <sheetName val="資料庫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單價分析表(1-11)"/>
      <sheetName val="#REF"/>
      <sheetName val="單價分析"/>
      <sheetName val="工程預算書"/>
      <sheetName val="Book1"/>
      <sheetName val="St2"/>
      <sheetName val="St3"/>
      <sheetName val="St4"/>
      <sheetName val="St5"/>
      <sheetName val="St6"/>
      <sheetName val="St7"/>
      <sheetName val="St8"/>
      <sheetName val="St9"/>
      <sheetName val="St10"/>
      <sheetName val="St11"/>
      <sheetName val="St12"/>
      <sheetName val="St13"/>
      <sheetName val="St14"/>
      <sheetName val="St15"/>
      <sheetName val="St16"/>
      <sheetName val="St17 "/>
      <sheetName val="St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經費總表"/>
      <sheetName val="分年經費"/>
      <sheetName val="成本明細(方案一)"/>
      <sheetName val="成本明細(方案二)"/>
      <sheetName val="基本單價說明"/>
      <sheetName val="單價分析表(1-11)"/>
      <sheetName val="BGT-GATE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單價分析表(1-11)"/>
      <sheetName val="經費總表"/>
      <sheetName val="分年經費"/>
      <sheetName val="成本明細(方案一)"/>
      <sheetName val="成本明細(方案二)"/>
      <sheetName val="基本單價說明"/>
      <sheetName val="右岸"/>
      <sheetName val="左岸"/>
      <sheetName val="左右岸"/>
      <sheetName val="右排"/>
      <sheetName val="左No1"/>
      <sheetName val="左No2"/>
      <sheetName val="合計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單價分析表(1-11)"/>
      <sheetName val="經費總表"/>
      <sheetName val="分年經費"/>
      <sheetName val="成本明細(方案一)"/>
      <sheetName val="成本明細(方案二)"/>
      <sheetName val="基本單價說明"/>
      <sheetName val="右岸"/>
      <sheetName val="左岸"/>
      <sheetName val="左右岸"/>
      <sheetName val="右排"/>
      <sheetName val="左No1"/>
      <sheetName val="左No2"/>
      <sheetName val="合計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單價分析表(1-11)"/>
      <sheetName val="經費總表"/>
      <sheetName val="分年經費"/>
      <sheetName val="成本明細(方案一)"/>
      <sheetName val="成本明細(方案二)"/>
      <sheetName val="基本單價說明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單價分析表(1-11)"/>
      <sheetName val="經費總表"/>
      <sheetName val="分年經費"/>
      <sheetName val="成本明細(方案一)"/>
      <sheetName val="成本明細(方案二)"/>
      <sheetName val="基本單價說明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經費總表"/>
      <sheetName val="分年經費"/>
      <sheetName val="成本明細(方案一)"/>
      <sheetName val="成本明細(方案二)"/>
      <sheetName val="基本單價說明"/>
      <sheetName val="單價分析表(1-11)"/>
      <sheetName val="工程預算書"/>
      <sheetName val="單價分析表_1_11_"/>
      <sheetName val="12(31)"/>
      <sheetName val="1(1)"/>
      <sheetName val="1(2)"/>
      <sheetName val="1(3)"/>
      <sheetName val="1(4)"/>
      <sheetName val="1(5)"/>
      <sheetName val="1(6)"/>
      <sheetName val="12(24)"/>
      <sheetName val="12(25)"/>
      <sheetName val="12(26)"/>
      <sheetName val="12(27)"/>
      <sheetName val="12(28)"/>
      <sheetName val="12(29)"/>
      <sheetName val="12(30)"/>
      <sheetName val="單價分析表"/>
      <sheetName val="合約2"/>
      <sheetName val="單價總表"/>
      <sheetName val="BGT-GATE"/>
      <sheetName val="基本資料表"/>
      <sheetName val="工程預算書 "/>
      <sheetName val="鋼筋明細表"/>
      <sheetName val="計劃書"/>
      <sheetName val="預算書"/>
      <sheetName val="費率表"/>
      <sheetName val="工料單價表"/>
      <sheetName val="材料單價"/>
      <sheetName val="工程數量計算"/>
      <sheetName val="土石方"/>
      <sheetName val="鋼筋統計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單價分析表(1-11)"/>
      <sheetName val="經費總表"/>
      <sheetName val="分年經費"/>
      <sheetName val="成本明細(方案一)"/>
      <sheetName val="成本明細(方案二)"/>
      <sheetName val="基本單價說明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程預算書"/>
      <sheetName val="A1"/>
      <sheetName val="A2"/>
      <sheetName val="A3"/>
      <sheetName val="人孔1"/>
      <sheetName val="人孔2"/>
      <sheetName val="人孔3"/>
      <sheetName val="道路側溝"/>
      <sheetName val="道路標誌"/>
      <sheetName val="預算明細表"/>
      <sheetName val="單價分析"/>
      <sheetName val="計算表"/>
      <sheetName val="統計表"/>
      <sheetName val="計算總表 "/>
      <sheetName val="計畫說明書"/>
      <sheetName val="進度表"/>
      <sheetName val="預算書"/>
      <sheetName val="審查意見及回覆表"/>
      <sheetName val="封面"/>
      <sheetName val="資料庫"/>
      <sheetName val="Sheet1"/>
      <sheetName val="工程預算書 "/>
      <sheetName val="工程數量計算表"/>
      <sheetName val="工程預算書 -空白"/>
      <sheetName val="單價分析-空白"/>
      <sheetName val="基本資料"/>
      <sheetName val="Sheet2"/>
      <sheetName val="Sheet3"/>
      <sheetName val="工程預算"/>
      <sheetName val="工程預"/>
      <sheetName val="工程"/>
      <sheetName val="工"/>
      <sheetName val="12(31)"/>
      <sheetName val="1(1)"/>
      <sheetName val="1(2)"/>
      <sheetName val="1(3)"/>
      <sheetName val="1(4)"/>
      <sheetName val="1(5)"/>
      <sheetName val="1(6)"/>
      <sheetName val="12(24)"/>
      <sheetName val="12(25)"/>
      <sheetName val="12(26)"/>
      <sheetName val="12(27)"/>
      <sheetName val="12(28)"/>
      <sheetName val="12(29)"/>
      <sheetName val="12(30)"/>
      <sheetName val="初稿審查意見處理表"/>
      <sheetName val="初稿審核單"/>
      <sheetName val="工程計畫說明書"/>
      <sheetName val="預算書總表"/>
      <sheetName val="主體工程費"/>
      <sheetName val="雜項工程費"/>
      <sheetName val="環境保護措施費"/>
      <sheetName val="品質檢驗費"/>
      <sheetName val="勞工安全衛生費"/>
      <sheetName val="單價分析表1"/>
      <sheetName val="單價分析表2"/>
      <sheetName val="單價分析表3 "/>
      <sheetName val="單價分析表4"/>
      <sheetName val="單價分析表5"/>
      <sheetName val="單價分析表6"/>
      <sheetName val="單價計算表"/>
      <sheetName val="工程數量總表A4"/>
      <sheetName val="數量計算表"/>
      <sheetName val="土石方計算表"/>
      <sheetName val="計算空污費表"/>
      <sheetName val="空污費"/>
      <sheetName val="工期分析表"/>
      <sheetName val="預定進度表"/>
      <sheetName val="注意事項"/>
      <sheetName val="施工補充說明書封面"/>
      <sheetName val="剩餘土石方運棄計畫表"/>
      <sheetName val="各處所地點"/>
      <sheetName val="單價分析表(1-11)"/>
      <sheetName val="封面 (結算)"/>
      <sheetName val="數量表"/>
      <sheetName val="封面 (決算) "/>
      <sheetName val="驗收證明"/>
      <sheetName val="驗收紀錄表(1)"/>
      <sheetName val="驗收紀錄表 (2)"/>
      <sheetName val="竣工驗收表"/>
      <sheetName val="結算明細表(竣)"/>
      <sheetName val="決算明細(直)"/>
      <sheetName val="決算明細表"/>
      <sheetName val="工程數量表"/>
      <sheetName val="程預算書"/>
      <sheetName val="算書"/>
      <sheetName val="書"/>
      <sheetName val="預算"/>
      <sheetName val="單價分析表"/>
      <sheetName val="合約2"/>
      <sheetName val="實際值-2006.02.06"/>
      <sheetName val="單價分析表 "/>
      <sheetName val="變更單價分析表 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 refreshError="1"/>
      <sheetData sheetId="89"/>
      <sheetData sheetId="90"/>
      <sheetData sheetId="91" refreshError="1"/>
      <sheetData sheetId="92" refreshError="1"/>
      <sheetData sheetId="9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程計算表"/>
      <sheetName val="封面"/>
      <sheetName val="委託設計核章欄"/>
      <sheetName val="工程計畫說明書"/>
      <sheetName val="預算書"/>
      <sheetName val="單價分析表"/>
      <sheetName val="數量統計表"/>
      <sheetName val="土石方計算表"/>
      <sheetName val="包商估價單"/>
      <sheetName val="包商單價分析表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數量計算"/>
      <sheetName val="單價分析表(1-11)"/>
      <sheetName val="#REF"/>
      <sheetName val="工程預算書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程預算書"/>
      <sheetName val="預算書費率表"/>
      <sheetName val="數量總表"/>
      <sheetName val="預定進度表"/>
      <sheetName val="基本單價說明"/>
      <sheetName val="空白工程預算書 "/>
      <sheetName val="單價分析表(1-6) 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封面 "/>
      <sheetName val="預算書1-2"/>
      <sheetName val="統一單價"/>
      <sheetName val="5cm厚AC面層.填碎石級配及壓實"/>
      <sheetName val="140, 軀體模板"/>
      <sheetName val="瀝清混凝土"/>
      <sheetName val="數量計算表1-2"/>
      <sheetName val="數量計算表2-2"/>
      <sheetName val="土石方計算表1-1"/>
      <sheetName val="結算明細表"/>
      <sheetName val="結算明細表 (2)"/>
      <sheetName val="預算"/>
      <sheetName val="數量"/>
      <sheetName val="挖方,填方"/>
      <sheetName val="廢方,廢方推整"/>
      <sheetName val="鍍鋅蓋鈑(50×65),混凝土打除費"/>
      <sheetName val="變更"/>
      <sheetName val="驗收書"/>
      <sheetName val="請領表"/>
      <sheetName val="收據"/>
      <sheetName val="監工日報表"/>
      <sheetName val="封面"/>
      <sheetName val="預算書"/>
      <sheetName val="分析表"/>
      <sheetName val="數量表"/>
      <sheetName val="土方表"/>
      <sheetName val="估價書"/>
      <sheetName val="估價表"/>
      <sheetName val="決算封面"/>
      <sheetName val="驗收紀錄"/>
      <sheetName val="證明書"/>
      <sheetName val="明細表"/>
      <sheetName val="8成計算式"/>
      <sheetName val="決算表"/>
      <sheetName val="結算明細表 _2_"/>
      <sheetName val="工程預算書"/>
      <sheetName val="基本單價"/>
      <sheetName val="單價分析表"/>
      <sheetName val="數量計算表 (總表)"/>
      <sheetName val="數量計算表"/>
      <sheetName val="土方計算書"/>
      <sheetName val="土方計算書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C1" t="str">
            <v>土庫鎮公所營繕工程結算明細表</v>
          </cell>
        </row>
        <row r="2">
          <cell r="I2" t="str">
            <v xml:space="preserve">     日期：中華民國 ８７年10月   日 </v>
          </cell>
        </row>
        <row r="3">
          <cell r="I3" t="str">
            <v xml:space="preserve">                  第 １ 頁 共 ２ 頁</v>
          </cell>
        </row>
        <row r="4">
          <cell r="C4" t="str">
            <v xml:space="preserve">工    程    名    稱 </v>
          </cell>
          <cell r="D4" t="str">
            <v xml:space="preserve"> 土庫鎮埤腳里道路側溝改善工程</v>
          </cell>
          <cell r="E4">
            <v>0</v>
          </cell>
          <cell r="F4">
            <v>0</v>
          </cell>
          <cell r="G4">
            <v>0</v>
          </cell>
          <cell r="H4" t="str">
            <v xml:space="preserve"> 工   程   案   號  </v>
          </cell>
          <cell r="I4">
            <v>0</v>
          </cell>
          <cell r="J4" t="str">
            <v xml:space="preserve"> 87-F-01-01-9-(028)</v>
          </cell>
        </row>
        <row r="5">
          <cell r="B5" t="str">
            <v>項</v>
          </cell>
          <cell r="C5" t="str">
            <v>工   程   項   目</v>
          </cell>
          <cell r="D5" t="str">
            <v>單</v>
          </cell>
          <cell r="E5" t="str">
            <v xml:space="preserve"> 單  價</v>
          </cell>
          <cell r="F5" t="str">
            <v xml:space="preserve">  預算或合約估列</v>
          </cell>
          <cell r="G5">
            <v>0</v>
          </cell>
          <cell r="H5" t="str">
            <v xml:space="preserve">    結   算   結   果</v>
          </cell>
          <cell r="I5">
            <v>0</v>
          </cell>
          <cell r="J5" t="str">
            <v xml:space="preserve"> 增  減  金  額</v>
          </cell>
          <cell r="K5">
            <v>0</v>
          </cell>
          <cell r="L5" t="str">
            <v>備註</v>
          </cell>
        </row>
        <row r="6">
          <cell r="B6" t="str">
            <v>次</v>
          </cell>
          <cell r="C6">
            <v>0</v>
          </cell>
          <cell r="D6" t="str">
            <v>位</v>
          </cell>
          <cell r="E6">
            <v>0</v>
          </cell>
          <cell r="F6" t="str">
            <v xml:space="preserve"> 數  量 </v>
          </cell>
          <cell r="G6" t="str">
            <v xml:space="preserve"> 金    額</v>
          </cell>
          <cell r="H6" t="str">
            <v xml:space="preserve"> 數  量</v>
          </cell>
          <cell r="I6" t="str">
            <v>金    額</v>
          </cell>
          <cell r="J6" t="str">
            <v>增加金額</v>
          </cell>
          <cell r="K6" t="str">
            <v>減少金額</v>
          </cell>
        </row>
        <row r="7">
          <cell r="C7" t="str">
            <v xml:space="preserve"> 《壹》、發包工作費</v>
          </cell>
          <cell r="D7">
            <v>0</v>
          </cell>
          <cell r="E7" t="str">
            <v/>
          </cell>
          <cell r="F7" t="str">
            <v/>
          </cell>
          <cell r="G7">
            <v>0</v>
          </cell>
          <cell r="H7" t="str">
            <v/>
          </cell>
        </row>
        <row r="8">
          <cell r="B8" t="str">
            <v>1</v>
          </cell>
          <cell r="C8" t="str">
            <v xml:space="preserve"> 挖基方</v>
          </cell>
          <cell r="D8" t="str">
            <v>M3</v>
          </cell>
          <cell r="E8">
            <v>26.69</v>
          </cell>
          <cell r="F8">
            <v>795</v>
          </cell>
          <cell r="G8">
            <v>21218.55</v>
          </cell>
          <cell r="H8">
            <v>795</v>
          </cell>
          <cell r="I8">
            <v>21218.55</v>
          </cell>
          <cell r="J8">
            <v>0</v>
          </cell>
          <cell r="K8">
            <v>0</v>
          </cell>
        </row>
        <row r="9">
          <cell r="B9" t="str">
            <v>2</v>
          </cell>
          <cell r="C9" t="str">
            <v xml:space="preserve"> 回填方</v>
          </cell>
          <cell r="D9" t="str">
            <v>M3</v>
          </cell>
          <cell r="E9">
            <v>24.72</v>
          </cell>
          <cell r="F9">
            <v>134</v>
          </cell>
          <cell r="G9">
            <v>3312.48</v>
          </cell>
          <cell r="H9">
            <v>134</v>
          </cell>
          <cell r="I9">
            <v>3312.48</v>
          </cell>
          <cell r="J9">
            <v>0</v>
          </cell>
          <cell r="K9">
            <v>0</v>
          </cell>
        </row>
        <row r="10">
          <cell r="B10" t="str">
            <v>3</v>
          </cell>
          <cell r="C10" t="str">
            <v xml:space="preserve"> 遠運棄土</v>
          </cell>
          <cell r="D10" t="str">
            <v>M3</v>
          </cell>
          <cell r="E10">
            <v>59.32</v>
          </cell>
          <cell r="F10">
            <v>661</v>
          </cell>
          <cell r="G10">
            <v>39210.519999999997</v>
          </cell>
          <cell r="H10">
            <v>661</v>
          </cell>
          <cell r="I10">
            <v>39210.519999999997</v>
          </cell>
          <cell r="J10">
            <v>0</v>
          </cell>
          <cell r="K10">
            <v>0</v>
          </cell>
        </row>
        <row r="11">
          <cell r="B11" t="str">
            <v>4</v>
          </cell>
          <cell r="C11" t="str">
            <v xml:space="preserve"> 路面整理</v>
          </cell>
          <cell r="D11" t="str">
            <v>M2</v>
          </cell>
          <cell r="E11">
            <v>14.83</v>
          </cell>
          <cell r="F11">
            <v>2393</v>
          </cell>
          <cell r="G11">
            <v>35488.19</v>
          </cell>
          <cell r="H11">
            <v>2393</v>
          </cell>
          <cell r="I11">
            <v>35488.19</v>
          </cell>
          <cell r="J11">
            <v>0</v>
          </cell>
          <cell r="K11">
            <v>0</v>
          </cell>
        </row>
        <row r="12">
          <cell r="B12" t="str">
            <v>5</v>
          </cell>
          <cell r="C12" t="str">
            <v xml:space="preserve"> 透層舖設</v>
          </cell>
          <cell r="D12" t="str">
            <v>M2</v>
          </cell>
          <cell r="E12">
            <v>405.36</v>
          </cell>
          <cell r="F12">
            <v>2393</v>
          </cell>
          <cell r="G12">
            <v>970026.48</v>
          </cell>
          <cell r="H12">
            <v>2393</v>
          </cell>
          <cell r="I12">
            <v>970026.48</v>
          </cell>
          <cell r="J12">
            <v>0</v>
          </cell>
          <cell r="K12">
            <v>0</v>
          </cell>
        </row>
        <row r="13">
          <cell r="B13" t="str">
            <v>6</v>
          </cell>
          <cell r="C13" t="str">
            <v xml:space="preserve"> 5cm瀝青混凝土面層舖壓</v>
          </cell>
          <cell r="D13" t="str">
            <v>M2</v>
          </cell>
          <cell r="E13">
            <v>11.86</v>
          </cell>
          <cell r="F13">
            <v>2393</v>
          </cell>
          <cell r="G13">
            <v>28380.98</v>
          </cell>
          <cell r="H13">
            <v>2393</v>
          </cell>
          <cell r="I13">
            <v>28380.98</v>
          </cell>
          <cell r="J13">
            <v>0</v>
          </cell>
          <cell r="K13">
            <v>0</v>
          </cell>
        </row>
        <row r="14">
          <cell r="B14" t="str">
            <v>7</v>
          </cell>
          <cell r="C14" t="str">
            <v xml:space="preserve"> 填碎石級配及壓實</v>
          </cell>
          <cell r="D14" t="str">
            <v>M3</v>
          </cell>
          <cell r="E14">
            <v>147.31</v>
          </cell>
          <cell r="F14">
            <v>535</v>
          </cell>
          <cell r="G14">
            <v>78810.850000000006</v>
          </cell>
          <cell r="H14">
            <v>535</v>
          </cell>
          <cell r="I14">
            <v>78810.850000000006</v>
          </cell>
          <cell r="J14">
            <v>0</v>
          </cell>
          <cell r="K14">
            <v>0</v>
          </cell>
        </row>
        <row r="15">
          <cell r="B15" t="str">
            <v>8</v>
          </cell>
          <cell r="C15" t="str">
            <v xml:space="preserve"> 140 ㎏/㎝2混凝土</v>
          </cell>
          <cell r="D15" t="str">
            <v>M3</v>
          </cell>
          <cell r="E15">
            <v>1779.61</v>
          </cell>
          <cell r="F15">
            <v>203</v>
          </cell>
          <cell r="G15">
            <v>361260.83</v>
          </cell>
          <cell r="H15">
            <v>203</v>
          </cell>
          <cell r="I15">
            <v>361260.83</v>
          </cell>
          <cell r="J15">
            <v>0</v>
          </cell>
          <cell r="K15">
            <v>0</v>
          </cell>
        </row>
        <row r="16">
          <cell r="B16" t="str">
            <v>9</v>
          </cell>
          <cell r="C16" t="str">
            <v xml:space="preserve"> 軀體模板</v>
          </cell>
          <cell r="D16" t="str">
            <v>M2</v>
          </cell>
          <cell r="E16">
            <v>2125.64</v>
          </cell>
          <cell r="F16">
            <v>980</v>
          </cell>
          <cell r="G16">
            <v>2083127.2</v>
          </cell>
          <cell r="H16">
            <v>980</v>
          </cell>
          <cell r="I16">
            <v>2083127.2</v>
          </cell>
          <cell r="J16">
            <v>0</v>
          </cell>
          <cell r="K16">
            <v>0</v>
          </cell>
        </row>
        <row r="17">
          <cell r="B17" t="str">
            <v>10</v>
          </cell>
          <cell r="C17" t="str">
            <v xml:space="preserve"> 與原有構造物銜接及修復費</v>
          </cell>
          <cell r="D17" t="str">
            <v>式</v>
          </cell>
          <cell r="E17">
            <v>247.17</v>
          </cell>
          <cell r="F17">
            <v>1</v>
          </cell>
          <cell r="G17">
            <v>247.17</v>
          </cell>
          <cell r="H17">
            <v>1</v>
          </cell>
          <cell r="I17">
            <v>247.17</v>
          </cell>
          <cell r="J17">
            <v>0</v>
          </cell>
          <cell r="K17">
            <v>0</v>
          </cell>
        </row>
        <row r="18">
          <cell r="B18" t="str">
            <v>11</v>
          </cell>
          <cell r="C18" t="str">
            <v xml:space="preserve"> 樹木砍除及運棄費</v>
          </cell>
          <cell r="D18" t="str">
            <v>式</v>
          </cell>
          <cell r="E18">
            <v>17.8</v>
          </cell>
          <cell r="F18">
            <v>1</v>
          </cell>
          <cell r="G18">
            <v>17.8</v>
          </cell>
          <cell r="H18">
            <v>1</v>
          </cell>
          <cell r="I18">
            <v>17.8</v>
          </cell>
          <cell r="J18">
            <v>0</v>
          </cell>
          <cell r="K18">
            <v>0</v>
          </cell>
        </row>
        <row r="19">
          <cell r="B19" t="str">
            <v>12</v>
          </cell>
          <cell r="C19" t="str">
            <v xml:space="preserve"> 施工中環境維護措施費</v>
          </cell>
          <cell r="D19" t="str">
            <v>式</v>
          </cell>
          <cell r="E19">
            <v>0</v>
          </cell>
          <cell r="F19">
            <v>1</v>
          </cell>
          <cell r="G19">
            <v>9886.7099999999991</v>
          </cell>
          <cell r="H19">
            <v>1</v>
          </cell>
          <cell r="I19">
            <v>9886.7099999999991</v>
          </cell>
          <cell r="J19">
            <v>0</v>
          </cell>
          <cell r="K19">
            <v>0</v>
          </cell>
        </row>
        <row r="20">
          <cell r="B20" t="str">
            <v>13</v>
          </cell>
          <cell r="C20" t="str">
            <v xml:space="preserve"> 施工中交通安全措施費</v>
          </cell>
          <cell r="D20" t="str">
            <v>式</v>
          </cell>
          <cell r="E20">
            <v>0</v>
          </cell>
          <cell r="F20">
            <v>1</v>
          </cell>
          <cell r="G20">
            <v>14830.07</v>
          </cell>
          <cell r="H20">
            <v>1</v>
          </cell>
          <cell r="I20">
            <v>14830.07</v>
          </cell>
          <cell r="J20">
            <v>0</v>
          </cell>
          <cell r="K20">
            <v>0</v>
          </cell>
        </row>
        <row r="21">
          <cell r="B21" t="str">
            <v>14</v>
          </cell>
          <cell r="C21" t="str">
            <v xml:space="preserve"> 施工中勞工安全衛生措施費</v>
          </cell>
          <cell r="D21" t="str">
            <v>式</v>
          </cell>
          <cell r="E21">
            <v>0</v>
          </cell>
          <cell r="F21">
            <v>1</v>
          </cell>
          <cell r="G21">
            <v>9886.7099999999991</v>
          </cell>
          <cell r="H21">
            <v>1</v>
          </cell>
          <cell r="I21">
            <v>9886.7099999999991</v>
          </cell>
          <cell r="J21">
            <v>0</v>
          </cell>
          <cell r="K21">
            <v>0</v>
          </cell>
        </row>
        <row r="22">
          <cell r="B22" t="str">
            <v>15</v>
          </cell>
          <cell r="C22" t="str">
            <v xml:space="preserve"> 營繕工程保險費</v>
          </cell>
          <cell r="D22" t="str">
            <v>式</v>
          </cell>
          <cell r="E22">
            <v>0</v>
          </cell>
          <cell r="F22">
            <v>1</v>
          </cell>
          <cell r="G22">
            <v>9886.7099999999991</v>
          </cell>
          <cell r="H22">
            <v>1</v>
          </cell>
          <cell r="I22">
            <v>9886.7099999999991</v>
          </cell>
          <cell r="J22">
            <v>0</v>
          </cell>
          <cell r="K22">
            <v>0</v>
          </cell>
        </row>
        <row r="23">
          <cell r="B23">
            <v>16</v>
          </cell>
          <cell r="C23" t="str">
            <v xml:space="preserve"> 包商利潤及稅捐</v>
          </cell>
          <cell r="D23" t="str">
            <v>式</v>
          </cell>
          <cell r="E23">
            <v>0</v>
          </cell>
          <cell r="F23">
            <v>1</v>
          </cell>
          <cell r="G23">
            <v>185048.63</v>
          </cell>
          <cell r="H23">
            <v>1</v>
          </cell>
          <cell r="I23">
            <v>185048.63</v>
          </cell>
          <cell r="J23">
            <v>0</v>
          </cell>
          <cell r="K23">
            <v>0</v>
          </cell>
        </row>
        <row r="24">
          <cell r="B24" t="str">
            <v/>
          </cell>
          <cell r="C24" t="str">
            <v xml:space="preserve"> 本工程結算總額：新台幣參拾陸萬壹仟貳佰陸拾壹元整</v>
          </cell>
        </row>
        <row r="25">
          <cell r="K25" t="str">
            <v xml:space="preserve">     87LB001</v>
          </cell>
        </row>
        <row r="26">
          <cell r="C26" t="str">
            <v>鎮 長            秘 書</v>
          </cell>
          <cell r="D26">
            <v>0</v>
          </cell>
          <cell r="E26" t="str">
            <v xml:space="preserve">      課</v>
          </cell>
          <cell r="F26" t="str">
            <v xml:space="preserve">  長</v>
          </cell>
          <cell r="G26" t="str">
            <v/>
          </cell>
          <cell r="H26" t="str">
            <v>覆  核</v>
          </cell>
          <cell r="I26" t="str">
            <v/>
          </cell>
          <cell r="J26" t="str">
            <v xml:space="preserve">   計  算</v>
          </cell>
          <cell r="K26" t="str">
            <v/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總表"/>
      <sheetName val="封面"/>
      <sheetName val="預1"/>
      <sheetName val="預2"/>
      <sheetName val="單1"/>
      <sheetName val="統1"/>
      <sheetName val="計1"/>
      <sheetName val="計2"/>
      <sheetName val="計3"/>
      <sheetName val="計4"/>
      <sheetName val="東勢估"/>
      <sheetName val="估價單"/>
      <sheetName val="標單"/>
    </sheetNames>
    <sheetDataSet>
      <sheetData sheetId="0" refreshError="1">
        <row r="22">
          <cell r="AP22" t="str">
            <v>豐原市公所</v>
          </cell>
        </row>
        <row r="23">
          <cell r="AP23" t="str">
            <v>縣府土木課</v>
          </cell>
        </row>
        <row r="24">
          <cell r="AP24" t="str">
            <v>大肚鄉公所</v>
          </cell>
        </row>
        <row r="25">
          <cell r="AP25" t="str">
            <v>太平市公所</v>
          </cell>
        </row>
        <row r="26">
          <cell r="AP26" t="str">
            <v>石岡鄉公所</v>
          </cell>
        </row>
        <row r="27">
          <cell r="AP27" t="str">
            <v>霧峰鄉公所</v>
          </cell>
        </row>
        <row r="28">
          <cell r="AP28" t="str">
            <v>龍井鄉公所</v>
          </cell>
        </row>
        <row r="29">
          <cell r="AP29" t="str">
            <v>新社鄉公所</v>
          </cell>
        </row>
        <row r="30">
          <cell r="AP30" t="str">
            <v>清水鎮公所</v>
          </cell>
        </row>
        <row r="31">
          <cell r="AP31" t="str">
            <v>東勢鎮公所</v>
          </cell>
        </row>
        <row r="32">
          <cell r="AP32" t="str">
            <v>神岡鄉公所</v>
          </cell>
        </row>
        <row r="33">
          <cell r="AP33">
            <v>87</v>
          </cell>
        </row>
        <row r="34">
          <cell r="AP34">
            <v>88</v>
          </cell>
        </row>
        <row r="35">
          <cell r="AP35">
            <v>89</v>
          </cell>
        </row>
        <row r="36">
          <cell r="AP36">
            <v>90</v>
          </cell>
        </row>
      </sheetData>
      <sheetData sheetId="1"/>
      <sheetData sheetId="2"/>
      <sheetData sheetId="3"/>
      <sheetData sheetId="4"/>
      <sheetData sheetId="5"/>
      <sheetData sheetId="6" refreshError="1">
        <row r="7">
          <cell r="B7" t="str">
            <v>A段</v>
          </cell>
        </row>
        <row r="8">
          <cell r="B8" t="str">
            <v>路面工程</v>
          </cell>
        </row>
        <row r="9">
          <cell r="B9" t="str">
            <v>175kg/cm2預拌混凝土</v>
          </cell>
          <cell r="G9" t="str">
            <v>M3</v>
          </cell>
        </row>
        <row r="10">
          <cell r="B10" t="str">
            <v>點焊鋼絲網D=3.2mm(7.5cm*7.5cm)</v>
          </cell>
          <cell r="G10" t="str">
            <v>M2</v>
          </cell>
        </row>
        <row r="11">
          <cell r="B11" t="str">
            <v>路面模板</v>
          </cell>
          <cell r="G11" t="str">
            <v>M2</v>
          </cell>
        </row>
        <row r="13">
          <cell r="B13" t="str">
            <v>B段</v>
          </cell>
        </row>
        <row r="14">
          <cell r="B14" t="str">
            <v>路面工程</v>
          </cell>
        </row>
        <row r="15">
          <cell r="B15" t="str">
            <v>175kg/cm2預拌混凝土</v>
          </cell>
          <cell r="G15" t="str">
            <v>M3</v>
          </cell>
        </row>
        <row r="16">
          <cell r="B16" t="str">
            <v>點焊鋼絲網D=3.2mm(7.5cm*7.5cm)</v>
          </cell>
          <cell r="G16" t="str">
            <v>M2</v>
          </cell>
        </row>
        <row r="17">
          <cell r="B17" t="str">
            <v>路面模板</v>
          </cell>
          <cell r="G17" t="str">
            <v>M2</v>
          </cell>
        </row>
        <row r="19">
          <cell r="B19" t="str">
            <v>C段</v>
          </cell>
        </row>
        <row r="20">
          <cell r="B20" t="str">
            <v>路面工程</v>
          </cell>
        </row>
        <row r="21">
          <cell r="B21" t="str">
            <v>140kg/cm2預拌混凝土</v>
          </cell>
          <cell r="G21" t="str">
            <v>M3</v>
          </cell>
        </row>
        <row r="22">
          <cell r="B22" t="str">
            <v>路面模板</v>
          </cell>
          <cell r="G22" t="str">
            <v>M2</v>
          </cell>
        </row>
        <row r="23">
          <cell r="B23" t="str">
            <v>擋土牆工程</v>
          </cell>
        </row>
        <row r="24">
          <cell r="B24" t="str">
            <v>機械挖土方</v>
          </cell>
          <cell r="G24" t="str">
            <v>M3</v>
          </cell>
        </row>
        <row r="25">
          <cell r="B25" t="str">
            <v>回填方</v>
          </cell>
          <cell r="G25" t="str">
            <v>M3</v>
          </cell>
        </row>
        <row r="26">
          <cell r="B26" t="str">
            <v>棄土遠運</v>
          </cell>
          <cell r="G26" t="str">
            <v>M3</v>
          </cell>
        </row>
        <row r="27">
          <cell r="B27" t="str">
            <v>175kg/cm2預拌混凝土</v>
          </cell>
          <cell r="G27" t="str">
            <v>M3</v>
          </cell>
        </row>
        <row r="28">
          <cell r="B28" t="str">
            <v>軀體模板</v>
          </cell>
          <cell r="G28" t="str">
            <v>M2</v>
          </cell>
        </row>
        <row r="29">
          <cell r="B29" t="str">
            <v>鋼筋及彎紮鋼筋</v>
          </cell>
          <cell r="G29" t="str">
            <v>T</v>
          </cell>
        </row>
        <row r="30">
          <cell r="B30" t="str">
            <v>背填卵石</v>
          </cell>
          <cell r="G30" t="str">
            <v>M3</v>
          </cell>
        </row>
        <row r="31">
          <cell r="B31" t="str">
            <v>φ3"PVC落水管</v>
          </cell>
          <cell r="G31" t="str">
            <v>M</v>
          </cell>
        </row>
        <row r="32">
          <cell r="B32" t="str">
            <v>乙種擋土牆工程</v>
          </cell>
        </row>
        <row r="33">
          <cell r="B33" t="str">
            <v>機械挖土方</v>
          </cell>
          <cell r="G33" t="str">
            <v>M3</v>
          </cell>
        </row>
        <row r="34">
          <cell r="B34" t="str">
            <v>回填方</v>
          </cell>
          <cell r="G34" t="str">
            <v>M3</v>
          </cell>
        </row>
        <row r="35">
          <cell r="B35" t="str">
            <v>棄土遠運</v>
          </cell>
          <cell r="G35" t="str">
            <v>M3</v>
          </cell>
        </row>
        <row r="36">
          <cell r="B36" t="str">
            <v>175kg/cm2預拌混凝土</v>
          </cell>
          <cell r="G36" t="str">
            <v>M3</v>
          </cell>
        </row>
        <row r="37">
          <cell r="B37" t="str">
            <v>軀體模板</v>
          </cell>
          <cell r="G37" t="str">
            <v>M2</v>
          </cell>
        </row>
        <row r="38">
          <cell r="B38" t="str">
            <v>背填卵石</v>
          </cell>
          <cell r="G38" t="str">
            <v>M3</v>
          </cell>
        </row>
        <row r="39">
          <cell r="B39" t="str">
            <v>φ3"PVC落水管</v>
          </cell>
          <cell r="G39" t="str">
            <v>M</v>
          </cell>
        </row>
        <row r="40">
          <cell r="B40" t="str">
            <v>沉砂池工程</v>
          </cell>
        </row>
        <row r="41">
          <cell r="B41" t="str">
            <v>機械挖土方</v>
          </cell>
          <cell r="G41" t="str">
            <v>M3</v>
          </cell>
        </row>
        <row r="42">
          <cell r="B42" t="str">
            <v>回填方</v>
          </cell>
          <cell r="G42" t="str">
            <v>M3</v>
          </cell>
        </row>
        <row r="43">
          <cell r="B43" t="str">
            <v>175kg/cm2預拌混凝土</v>
          </cell>
          <cell r="G43" t="str">
            <v>M3</v>
          </cell>
        </row>
        <row r="44">
          <cell r="B44" t="str">
            <v>軀體模板</v>
          </cell>
          <cell r="G44" t="str">
            <v>M2</v>
          </cell>
        </row>
        <row r="45">
          <cell r="B45" t="str">
            <v>鋼筋及彎紮鋼筋</v>
          </cell>
          <cell r="G45" t="str">
            <v>T</v>
          </cell>
        </row>
      </sheetData>
      <sheetData sheetId="7" refreshError="1">
        <row r="47">
          <cell r="B47" t="str">
            <v>D段</v>
          </cell>
        </row>
        <row r="48">
          <cell r="B48" t="str">
            <v>路面工程</v>
          </cell>
        </row>
        <row r="49">
          <cell r="B49" t="str">
            <v>175kg/cm2預拌混凝土</v>
          </cell>
          <cell r="G49" t="str">
            <v>M3</v>
          </cell>
        </row>
        <row r="50">
          <cell r="B50" t="str">
            <v>點焊鋼絲網D=3.2mm(7.5cm*7.5cm)</v>
          </cell>
          <cell r="G50" t="str">
            <v>M2</v>
          </cell>
        </row>
        <row r="51">
          <cell r="B51" t="str">
            <v>路面模板</v>
          </cell>
          <cell r="G51" t="str">
            <v>M2</v>
          </cell>
        </row>
        <row r="52">
          <cell r="B52" t="str">
            <v>截水溝</v>
          </cell>
        </row>
        <row r="53">
          <cell r="B53" t="str">
            <v>機械挖土方</v>
          </cell>
          <cell r="G53" t="str">
            <v>M3</v>
          </cell>
        </row>
        <row r="54">
          <cell r="B54" t="str">
            <v>回填方</v>
          </cell>
          <cell r="G54" t="str">
            <v>M3</v>
          </cell>
        </row>
        <row r="55">
          <cell r="B55" t="str">
            <v>棄土遠運</v>
          </cell>
          <cell r="G55" t="str">
            <v>M3</v>
          </cell>
        </row>
        <row r="56">
          <cell r="B56" t="str">
            <v>175kg/cm2預拌混凝土</v>
          </cell>
          <cell r="G56" t="str">
            <v>M3</v>
          </cell>
        </row>
        <row r="57">
          <cell r="B57" t="str">
            <v>軀體模板</v>
          </cell>
          <cell r="G57" t="str">
            <v>M2</v>
          </cell>
        </row>
        <row r="58">
          <cell r="B58" t="str">
            <v>鋼筋及彎紮鋼筋</v>
          </cell>
          <cell r="G58" t="str">
            <v>T</v>
          </cell>
        </row>
        <row r="59">
          <cell r="B59" t="str">
            <v>熱浸鍍鋅格柵板(w=40cm)</v>
          </cell>
          <cell r="G59" t="str">
            <v>M</v>
          </cell>
        </row>
        <row r="61">
          <cell r="B61" t="str">
            <v>E段</v>
          </cell>
        </row>
        <row r="62">
          <cell r="B62" t="str">
            <v>路面工程</v>
          </cell>
        </row>
        <row r="63">
          <cell r="B63" t="str">
            <v>175kg/cm2預拌混凝土</v>
          </cell>
          <cell r="G63" t="str">
            <v>M3</v>
          </cell>
        </row>
        <row r="64">
          <cell r="B64" t="str">
            <v>點焊鋼絲網D=3.2mm(7.5cm*7.5cm)</v>
          </cell>
          <cell r="G64" t="str">
            <v>M2</v>
          </cell>
        </row>
        <row r="65">
          <cell r="B65" t="str">
            <v>路面模板</v>
          </cell>
          <cell r="G65" t="str">
            <v>M2</v>
          </cell>
        </row>
        <row r="66">
          <cell r="B66" t="str">
            <v>沉砂池工程</v>
          </cell>
        </row>
        <row r="67">
          <cell r="B67" t="str">
            <v>機械挖土方</v>
          </cell>
          <cell r="G67" t="str">
            <v>M3</v>
          </cell>
        </row>
        <row r="68">
          <cell r="B68" t="str">
            <v>回填方</v>
          </cell>
          <cell r="G68" t="str">
            <v>M3</v>
          </cell>
        </row>
        <row r="69">
          <cell r="B69" t="str">
            <v>棄土遠運</v>
          </cell>
          <cell r="G69" t="str">
            <v>M3</v>
          </cell>
        </row>
        <row r="70">
          <cell r="B70" t="str">
            <v>175kg/cm2預拌混凝土</v>
          </cell>
          <cell r="G70" t="str">
            <v>M3</v>
          </cell>
        </row>
        <row r="71">
          <cell r="B71" t="str">
            <v>軀體模板</v>
          </cell>
          <cell r="G71" t="str">
            <v>M2</v>
          </cell>
        </row>
        <row r="72">
          <cell r="B72" t="str">
            <v>鋼筋及彎紮鋼筋</v>
          </cell>
          <cell r="G72" t="str">
            <v>T</v>
          </cell>
        </row>
        <row r="73">
          <cell r="B73" t="str">
            <v>橋台工程</v>
          </cell>
        </row>
        <row r="74">
          <cell r="B74" t="str">
            <v>機械挖土方</v>
          </cell>
          <cell r="G74" t="str">
            <v>M3</v>
          </cell>
        </row>
        <row r="75">
          <cell r="B75" t="str">
            <v>回填方</v>
          </cell>
          <cell r="G75" t="str">
            <v>M3</v>
          </cell>
        </row>
        <row r="76">
          <cell r="B76" t="str">
            <v>棄土遠運</v>
          </cell>
          <cell r="G76" t="str">
            <v>M3</v>
          </cell>
        </row>
        <row r="77">
          <cell r="B77" t="str">
            <v>140kg/cm2預拌混凝土</v>
          </cell>
          <cell r="G77" t="str">
            <v>M3</v>
          </cell>
        </row>
        <row r="78">
          <cell r="B78" t="str">
            <v>210kg/cm2預拌混凝土</v>
          </cell>
          <cell r="G78" t="str">
            <v>M3</v>
          </cell>
        </row>
        <row r="79">
          <cell r="B79" t="str">
            <v>軀體模板</v>
          </cell>
          <cell r="G79" t="str">
            <v>M2</v>
          </cell>
        </row>
        <row r="80">
          <cell r="B80" t="str">
            <v>鋼筋及彎紮鋼筋</v>
          </cell>
          <cell r="G80" t="str">
            <v>T</v>
          </cell>
        </row>
      </sheetData>
      <sheetData sheetId="8" refreshError="1">
        <row r="87">
          <cell r="B87" t="str">
            <v>橋面版工程</v>
          </cell>
        </row>
        <row r="88">
          <cell r="B88" t="str">
            <v>210kg/cm2預拌混凝土</v>
          </cell>
          <cell r="G88" t="str">
            <v>M3</v>
          </cell>
        </row>
        <row r="89">
          <cell r="B89" t="str">
            <v>結構模板</v>
          </cell>
          <cell r="G89" t="str">
            <v>M2</v>
          </cell>
        </row>
        <row r="90">
          <cell r="B90" t="str">
            <v>鋼筋及彎紮鋼筋</v>
          </cell>
          <cell r="G90" t="str">
            <v>T</v>
          </cell>
        </row>
        <row r="91">
          <cell r="B91" t="str">
            <v>排水孔</v>
          </cell>
          <cell r="G91" t="str">
            <v>個</v>
          </cell>
        </row>
        <row r="92">
          <cell r="B92" t="str">
            <v>2CM厚保麗龍伸縮縫</v>
          </cell>
          <cell r="G92" t="str">
            <v>M2</v>
          </cell>
        </row>
        <row r="93">
          <cell r="B93" t="str">
            <v>白色水泥漆粉刷</v>
          </cell>
          <cell r="G93" t="str">
            <v>M2</v>
          </cell>
        </row>
        <row r="94">
          <cell r="B94" t="str">
            <v>油毛氈</v>
          </cell>
          <cell r="G94" t="str">
            <v>M2</v>
          </cell>
        </row>
        <row r="96">
          <cell r="B96" t="str">
            <v>F段</v>
          </cell>
        </row>
        <row r="97">
          <cell r="B97" t="str">
            <v>路面工程</v>
          </cell>
        </row>
        <row r="98">
          <cell r="B98" t="str">
            <v>175kg/cm2預拌混凝土</v>
          </cell>
          <cell r="G98" t="str">
            <v>M3</v>
          </cell>
        </row>
        <row r="99">
          <cell r="B99" t="str">
            <v>點焊鋼絲網D=3.2mm(7.5cm*7.5cm)</v>
          </cell>
          <cell r="G99" t="str">
            <v>M2</v>
          </cell>
        </row>
        <row r="100">
          <cell r="B100" t="str">
            <v>路面模板</v>
          </cell>
          <cell r="G100" t="str">
            <v>M2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數量計算"/>
      <sheetName val="單價分析表(1-11)"/>
      <sheetName val="#REF"/>
      <sheetName val="工程預算書"/>
      <sheetName val="工程項目"/>
      <sheetName val="單價分析表-範例勿用"/>
      <sheetName val="總表"/>
      <sheetName val="土石方 (2)"/>
      <sheetName val="土石方"/>
      <sheetName val="擋土牆高度"/>
      <sheetName val="擋土牆及箱涵設置表"/>
      <sheetName val="擋土牆"/>
      <sheetName val="箱涵及截水溝"/>
      <sheetName val="CB1"/>
      <sheetName val="RCP"/>
      <sheetName val="STL"/>
      <sheetName val="標線"/>
      <sheetName val="號誌"/>
      <sheetName val="照明"/>
      <sheetName val="數量合計"/>
      <sheetName val="統計表"/>
      <sheetName val="預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變更"/>
      <sheetName val="數量計算表"/>
      <sheetName val="資料庫"/>
      <sheetName val="工程預算書 "/>
      <sheetName val="工程計算表"/>
      <sheetName val="封面 "/>
      <sheetName val="工程預算書"/>
      <sheetName val="工程預算書_"/>
      <sheetName val="封面_"/>
      <sheetName val="資料總表"/>
      <sheetName val="附屬資料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"/>
      <sheetName val="工程預算書 "/>
      <sheetName val="工程預算表"/>
      <sheetName val="總"/>
      <sheetName val="開工報告書(橫章)"/>
      <sheetName val="工程完工報告書"/>
      <sheetName val="監造日報表封面"/>
      <sheetName val="監造日報表 (1)"/>
      <sheetName val="監造日報表"/>
      <sheetName val="監造日報表 (2)"/>
      <sheetName val="監造日報表 (3)"/>
      <sheetName val="監造日報表 (4)"/>
      <sheetName val="結算書封面(橫章)"/>
      <sheetName val="工程驗收單"/>
      <sheetName val="結算明細總表"/>
      <sheetName val="基本資料"/>
      <sheetName val="初稿審查意見處理表"/>
      <sheetName val="初稿審核單"/>
      <sheetName val="封面"/>
      <sheetName val="工程計畫說明書"/>
      <sheetName val="預算書總表"/>
      <sheetName val="主體工程費"/>
      <sheetName val="雜項工程費"/>
      <sheetName val="環境保護措施費"/>
      <sheetName val="品質檢驗費"/>
      <sheetName val="勞工安全衛生費"/>
      <sheetName val="單價分析表1"/>
      <sheetName val="單價分析表2"/>
      <sheetName val="單價分析表3 "/>
      <sheetName val="單價分析表4"/>
      <sheetName val="單價分析表5"/>
      <sheetName val="單價分析表6"/>
      <sheetName val="單價計算表"/>
      <sheetName val="工程數量總表A4"/>
      <sheetName val="數量計算表"/>
      <sheetName val="土石方計算表"/>
      <sheetName val="計算空污費表"/>
      <sheetName val="空污費"/>
      <sheetName val="工期分析表"/>
      <sheetName val="預定進度表"/>
      <sheetName val="注意事項"/>
      <sheetName val="施工補充說明書封面"/>
      <sheetName val="剩餘土石方運棄計畫表"/>
      <sheetName val="各處所地點"/>
      <sheetName val="ANALYSIS.XLS"/>
      <sheetName val="結算明細表 (2)"/>
      <sheetName val="工程預算書_"/>
      <sheetName val="單價分析表(1-11)"/>
      <sheetName val="工程預算書"/>
      <sheetName val="預2"/>
    </sheetNames>
    <definedNames>
      <definedName name="A區資料篩選"/>
      <definedName name="B區資料篩選"/>
      <definedName name="C區資料篩選"/>
      <definedName name="D區資料篩選"/>
      <definedName name="清除A區資料"/>
      <definedName name="清除B區資料"/>
      <definedName name="清除C區資料"/>
      <definedName name="清除D區資料"/>
      <definedName name="清除查詢資料"/>
    </defined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程預算書"/>
      <sheetName val="預算書費率表"/>
      <sheetName val="數量總表"/>
      <sheetName val="預定進度表"/>
      <sheetName val="基本單價說明"/>
      <sheetName val="空白工程預算書 "/>
      <sheetName val="單價分析表(1-6) 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單價分析表(1-11)"/>
      <sheetName val="工程預算書"/>
      <sheetName val="#REF"/>
      <sheetName val="St2"/>
      <sheetName val="St3"/>
      <sheetName val="St4"/>
      <sheetName val="St5"/>
      <sheetName val="St6"/>
      <sheetName val="St7"/>
      <sheetName val="St8"/>
      <sheetName val="St9"/>
      <sheetName val="St10"/>
      <sheetName val="St11"/>
      <sheetName val="St12"/>
      <sheetName val="St13"/>
      <sheetName val="St14"/>
      <sheetName val="St15"/>
      <sheetName val="St16"/>
      <sheetName val="St17 "/>
      <sheetName val="St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單價分析表(1-11)"/>
      <sheetName val="工程預算書"/>
      <sheetName val="#REF"/>
      <sheetName val="St2"/>
      <sheetName val="St3"/>
      <sheetName val="St4"/>
      <sheetName val="St5"/>
      <sheetName val="St6"/>
      <sheetName val="St7"/>
      <sheetName val="St8"/>
      <sheetName val="St9"/>
      <sheetName val="St10"/>
      <sheetName val="St11"/>
      <sheetName val="St12"/>
      <sheetName val="St13"/>
      <sheetName val="St14"/>
      <sheetName val="St15"/>
      <sheetName val="St16"/>
      <sheetName val="St17 "/>
      <sheetName val="St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單價分析表(1-11)"/>
      <sheetName val="工程預算書"/>
      <sheetName val="#REF"/>
      <sheetName val="St2"/>
      <sheetName val="St3"/>
      <sheetName val="St4"/>
      <sheetName val="St5"/>
      <sheetName val="St6"/>
      <sheetName val="St7"/>
      <sheetName val="St8"/>
      <sheetName val="St9"/>
      <sheetName val="St10"/>
      <sheetName val="St11"/>
      <sheetName val="St12"/>
      <sheetName val="St13"/>
      <sheetName val="St14"/>
      <sheetName val="St15"/>
      <sheetName val="St16"/>
      <sheetName val="St17 "/>
      <sheetName val="St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鋼筋數量表"/>
      <sheetName val="土石方"/>
      <sheetName val="土石方 (2)"/>
      <sheetName val="混凝土數量"/>
      <sheetName val="工程預算明細表(頭坑)"/>
      <sheetName val="工程預算明細表(和社)"/>
      <sheetName val="工程預算明細表(47) "/>
      <sheetName val="工程預算明細表(愛國)"/>
      <sheetName val="工程預算明細表(黃竹)"/>
      <sheetName val="工程預算表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鋼筋數量表"/>
      <sheetName val="土石方"/>
      <sheetName val="土石方 (2)"/>
      <sheetName val="混凝土數量"/>
      <sheetName val="工程預算明細表(頭坑)"/>
      <sheetName val="工程預算明細表(和社)"/>
      <sheetName val="工程預算明細表(47) "/>
      <sheetName val="工程預算明細表(愛國)"/>
      <sheetName val="工程預算明細表(黃竹)"/>
      <sheetName val="工程預算表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明細表"/>
      <sheetName val="數量統計表"/>
      <sheetName val="數量計算表"/>
      <sheetName val="單價"/>
      <sheetName val="包商明細表"/>
      <sheetName val="包商單價"/>
    </sheetNames>
    <sheetDataSet>
      <sheetData sheetId="0">
        <row r="2">
          <cell r="B2" t="str">
            <v>路竹鄉後鄉村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單價分析表"/>
      <sheetName val="封面"/>
      <sheetName val="明細表"/>
      <sheetName val="數量計算表總表"/>
      <sheetName val="工程計算表"/>
      <sheetName val="清水橋 "/>
      <sheetName val="土石方"/>
      <sheetName val="清水橋A1橋台-stl"/>
      <sheetName val="清水橋A2橋台-stl"/>
      <sheetName val="清水橋GB-stl"/>
      <sheetName val="進橋版-s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程預算書"/>
      <sheetName val="單價分析表(1-11)"/>
      <sheetName val="基本資料"/>
      <sheetName val="初稿審查意見處理表"/>
      <sheetName val="初稿審核單"/>
      <sheetName val="封面"/>
      <sheetName val="工程計畫說明書"/>
      <sheetName val="預算書總表"/>
      <sheetName val="主體工程費"/>
      <sheetName val="雜項工程費"/>
      <sheetName val="環境保護措施費"/>
      <sheetName val="品質檢驗費"/>
      <sheetName val="勞工安全衛生費"/>
      <sheetName val="單價分析表1"/>
      <sheetName val="單價分析表2"/>
      <sheetName val="單價分析表3 "/>
      <sheetName val="單價分析表4"/>
      <sheetName val="單價分析表5"/>
      <sheetName val="單價分析表6"/>
      <sheetName val="單價計算表"/>
      <sheetName val="工程數量總表A4"/>
      <sheetName val="數量計算表"/>
      <sheetName val="土石方計算表"/>
      <sheetName val="計算空污費表"/>
      <sheetName val="空污費"/>
      <sheetName val="工期分析表"/>
      <sheetName val="預定進度表"/>
      <sheetName val="注意事項"/>
      <sheetName val="施工補充說明書封面"/>
      <sheetName val="剩餘土石方運棄計畫表"/>
      <sheetName val="各處所地點"/>
      <sheetName val="單價分析表"/>
      <sheetName val="總表"/>
      <sheetName val="input"/>
      <sheetName val="預2"/>
      <sheetName val="預1"/>
      <sheetName val="單1"/>
      <sheetName val="預算"/>
      <sheetName val="預算資源統計表"/>
      <sheetName val="預算書費率表"/>
      <sheetName val="數量總表"/>
      <sheetName val="基本單價說明"/>
      <sheetName val="空白工程預算書 "/>
      <sheetName val="單價分析表(1-6) 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程預算書"/>
      <sheetName val="單價分析表"/>
      <sheetName val="總表"/>
    </sheetNames>
    <sheetDataSet>
      <sheetData sheetId="0"/>
      <sheetData sheetId="1" refreshError="1"/>
      <sheetData sheetId="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變更 (3)"/>
      <sheetName val="變更 (2)"/>
      <sheetName val="工程預算書  (2)"/>
      <sheetName val="數量計算表"/>
      <sheetName val="數量計算表 (2)"/>
      <sheetName val="資料庫"/>
      <sheetName val="變更"/>
      <sheetName val="工程預算書 "/>
      <sheetName val="工程計算表"/>
      <sheetName val="施工預算書"/>
      <sheetName val="封面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程預算書"/>
      <sheetName val="單價分析表(1-11)"/>
    </sheetNames>
    <sheetDataSet>
      <sheetData sheetId="0" refreshError="1"/>
      <sheetData sheetId="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資料庫"/>
      <sheetName val="封面 "/>
      <sheetName val="工程預算書 "/>
      <sheetName val="工程計算表"/>
      <sheetName val="單價分析表"/>
      <sheetName val="挖填方"/>
      <sheetName val="擋土牆計算表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經費總表"/>
      <sheetName val="分年經費"/>
      <sheetName val="成本明細(方案一)"/>
      <sheetName val="成本明細(方案二)"/>
      <sheetName val="基本單價說明"/>
      <sheetName val="單價分析表(1-11)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經費總表"/>
      <sheetName val="分年經費"/>
      <sheetName val="成本明細(方案一)"/>
      <sheetName val="成本明細(方案二)"/>
      <sheetName val="基本單價說明"/>
      <sheetName val="單價分析表(1-11)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程預算書"/>
    </sheetNames>
    <sheetDataSet>
      <sheetData sheetId="0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程預算書"/>
    </sheetNames>
    <sheetDataSet>
      <sheetData sheetId="0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經費總表"/>
      <sheetName val="分年經費"/>
      <sheetName val="成本明細(方案一)"/>
      <sheetName val="成本明細(方案二)"/>
      <sheetName val="基本單價說明"/>
      <sheetName val="單價分析表(1-11)"/>
      <sheetName val="預算明細表"/>
      <sheetName val="工程預算書"/>
      <sheetName val="單價分析表_1_11_"/>
      <sheetName val="12(31)"/>
      <sheetName val="1(1)"/>
      <sheetName val="1(2)"/>
      <sheetName val="1(3)"/>
      <sheetName val="1(4)"/>
      <sheetName val="1(5)"/>
      <sheetName val="1(6)"/>
      <sheetName val="12(24)"/>
      <sheetName val="12(25)"/>
      <sheetName val="12(26)"/>
      <sheetName val="12(27)"/>
      <sheetName val="12(28)"/>
      <sheetName val="12(29)"/>
      <sheetName val="12(30)"/>
      <sheetName val="單價分析表"/>
      <sheetName val="合約2"/>
      <sheetName val="單價總表"/>
      <sheetName val="BGT-GATE"/>
      <sheetName val="基本資料表"/>
      <sheetName val="工程預算書 "/>
      <sheetName val="鋼筋明細表"/>
      <sheetName val="計劃書"/>
      <sheetName val="預算書"/>
      <sheetName val="費率表"/>
      <sheetName val="工料單價表"/>
      <sheetName val="材料單價"/>
      <sheetName val="工程數量計算"/>
      <sheetName val="土石方"/>
      <sheetName val="鋼筋統計表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程預算書"/>
      <sheetName val="單價分析表(1-11)"/>
      <sheetName val="Sheet2"/>
      <sheetName val="總表"/>
      <sheetName val="單價分析表"/>
      <sheetName val="預算書費率表"/>
      <sheetName val="數量總表"/>
      <sheetName val="預定進度表"/>
      <sheetName val="基本單價說明"/>
      <sheetName val="空白工程預算書 "/>
      <sheetName val="單價分析表(1-6) "/>
      <sheetName val="空白工程預算書_"/>
      <sheetName val="單價分析表(1-6)_"/>
      <sheetName val="BG8"/>
      <sheetName val="明隧道結構數量"/>
      <sheetName val="路基數量"/>
      <sheetName val="鋼筋計算(環村擋牆4.5-409)"/>
      <sheetName val="Sheet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單價分析表"/>
      <sheetName val="單價總表"/>
      <sheetName val="Sheet1"/>
      <sheetName val="input"/>
      <sheetName val="單價計算"/>
      <sheetName val="預算書"/>
      <sheetName val="估價單1"/>
      <sheetName val="估價單2"/>
      <sheetName val="合約1"/>
      <sheetName val="合約2"/>
      <sheetName val="變更"/>
      <sheetName val="估驗"/>
      <sheetName val="結算"/>
      <sheetName val="工程數量計算總表"/>
      <sheetName val="工程數量計算表 "/>
      <sheetName val="一區土方"/>
      <sheetName val="二區土方"/>
      <sheetName val="四區土方"/>
      <sheetName val="分析資料"/>
      <sheetName val="基本單價"/>
      <sheetName val="費率"/>
    </sheetNames>
    <sheetDataSet>
      <sheetData sheetId="0" refreshError="1">
        <row r="7">
          <cell r="V7" t="str">
            <v xml:space="preserve"> 餘土處理</v>
          </cell>
          <cell r="W7">
            <v>34</v>
          </cell>
        </row>
        <row r="8">
          <cell r="V8" t="str">
            <v xml:space="preserve"> 裸露模板製作及裝拆</v>
          </cell>
          <cell r="W8">
            <v>316</v>
          </cell>
        </row>
        <row r="9">
          <cell r="V9" t="str">
            <v xml:space="preserve"> 隱蔽模板製作及裝拆</v>
          </cell>
          <cell r="W9">
            <v>204</v>
          </cell>
        </row>
        <row r="10">
          <cell r="V10" t="str">
            <v xml:space="preserve"> 背填卵石</v>
          </cell>
          <cell r="W10">
            <v>206</v>
          </cell>
        </row>
        <row r="11">
          <cell r="V11" t="str">
            <v>鑽心體取樣費</v>
          </cell>
          <cell r="W11">
            <v>3900</v>
          </cell>
        </row>
        <row r="12">
          <cell r="V12" t="str">
            <v xml:space="preserve"> 鑽心體取樣費</v>
          </cell>
          <cell r="W12">
            <v>3900</v>
          </cell>
        </row>
        <row r="13">
          <cell r="V13" t="str">
            <v xml:space="preserve"> 水泥路面伸縮縫</v>
          </cell>
          <cell r="W13">
            <v>188</v>
          </cell>
        </row>
        <row r="14">
          <cell r="V14" t="str">
            <v>A</v>
          </cell>
          <cell r="W14" t="str">
            <v/>
          </cell>
        </row>
        <row r="15">
          <cell r="V15" t="str">
            <v>A</v>
          </cell>
          <cell r="W15" t="str">
            <v/>
          </cell>
        </row>
        <row r="16">
          <cell r="V16" t="str">
            <v>A</v>
          </cell>
          <cell r="W16" t="str">
            <v/>
          </cell>
        </row>
        <row r="17">
          <cell r="V17" t="str">
            <v>A</v>
          </cell>
          <cell r="W17" t="str">
            <v/>
          </cell>
        </row>
        <row r="18">
          <cell r="V18" t="str">
            <v>A</v>
          </cell>
          <cell r="W18" t="str">
            <v/>
          </cell>
        </row>
        <row r="19">
          <cell r="V19" t="str">
            <v>A</v>
          </cell>
          <cell r="W19" t="str">
            <v/>
          </cell>
        </row>
        <row r="20">
          <cell r="V20" t="str">
            <v>A</v>
          </cell>
          <cell r="W20" t="str">
            <v/>
          </cell>
        </row>
      </sheetData>
      <sheetData sheetId="1" refreshError="1">
        <row r="2">
          <cell r="A2" t="str">
            <v>編號</v>
          </cell>
          <cell r="B2" t="str">
            <v>項            目</v>
          </cell>
          <cell r="C2" t="str">
            <v>說    明</v>
          </cell>
          <cell r="D2" t="str">
            <v>單 位</v>
          </cell>
          <cell r="E2" t="str">
            <v>單價(元)</v>
          </cell>
          <cell r="F2" t="str">
            <v>附  註</v>
          </cell>
        </row>
        <row r="3">
          <cell r="A3" t="str">
            <v>t0</v>
          </cell>
          <cell r="B3" t="str">
            <v>參 考 單 價</v>
          </cell>
        </row>
        <row r="4">
          <cell r="A4">
            <v>1</v>
          </cell>
          <cell r="B4" t="str">
            <v xml:space="preserve"> 挖普通土(機械作業)</v>
          </cell>
          <cell r="C4" t="str">
            <v>適用路基工程</v>
          </cell>
          <cell r="D4" t="str">
            <v></v>
          </cell>
          <cell r="E4">
            <v>13</v>
          </cell>
          <cell r="F4" t="str">
            <v>統一單價</v>
          </cell>
        </row>
        <row r="5">
          <cell r="A5">
            <v>2</v>
          </cell>
          <cell r="B5" t="str">
            <v xml:space="preserve"> 挖間隔土(機械作業)</v>
          </cell>
          <cell r="C5" t="str">
            <v>適用路基工程</v>
          </cell>
          <cell r="D5" t="str">
            <v></v>
          </cell>
          <cell r="E5">
            <v>13</v>
          </cell>
          <cell r="F5" t="str">
            <v>統一單價</v>
          </cell>
        </row>
        <row r="6">
          <cell r="A6">
            <v>3</v>
          </cell>
          <cell r="B6" t="str">
            <v xml:space="preserve"> 填土(機械作業)</v>
          </cell>
          <cell r="C6" t="str">
            <v>適用路基工程</v>
          </cell>
          <cell r="D6" t="str">
            <v></v>
          </cell>
          <cell r="E6">
            <v>18</v>
          </cell>
          <cell r="F6" t="str">
            <v>統一單價</v>
          </cell>
        </row>
        <row r="7">
          <cell r="A7">
            <v>4</v>
          </cell>
          <cell r="B7" t="str">
            <v xml:space="preserve"> 挖填土(機械作業)</v>
          </cell>
          <cell r="C7" t="str">
            <v>適用路基工程</v>
          </cell>
          <cell r="D7" t="str">
            <v></v>
          </cell>
          <cell r="E7">
            <v>15</v>
          </cell>
          <cell r="F7" t="str">
            <v>統一單價</v>
          </cell>
        </row>
        <row r="8">
          <cell r="A8">
            <v>5</v>
          </cell>
          <cell r="B8" t="str">
            <v xml:space="preserve"> 挖硬岩</v>
          </cell>
          <cell r="D8" t="str">
            <v></v>
          </cell>
          <cell r="E8">
            <v>150</v>
          </cell>
          <cell r="F8" t="str">
            <v>統一單價</v>
          </cell>
        </row>
        <row r="9">
          <cell r="A9">
            <v>6</v>
          </cell>
          <cell r="B9" t="str">
            <v xml:space="preserve"> 挖軟岩</v>
          </cell>
          <cell r="D9" t="str">
            <v></v>
          </cell>
          <cell r="E9">
            <v>100</v>
          </cell>
          <cell r="F9" t="str">
            <v>統一單價</v>
          </cell>
        </row>
        <row r="10">
          <cell r="A10">
            <v>7</v>
          </cell>
          <cell r="B10" t="str">
            <v xml:space="preserve"> 挖青灰岩</v>
          </cell>
          <cell r="D10" t="str">
            <v></v>
          </cell>
          <cell r="E10">
            <v>100</v>
          </cell>
          <cell r="F10" t="str">
            <v>統一單價</v>
          </cell>
        </row>
        <row r="11">
          <cell r="A11">
            <v>8</v>
          </cell>
          <cell r="B11" t="str">
            <v xml:space="preserve"> 人工挖普通土</v>
          </cell>
          <cell r="D11" t="str">
            <v></v>
          </cell>
          <cell r="E11">
            <v>159</v>
          </cell>
          <cell r="F11" t="str">
            <v>統一單價</v>
          </cell>
        </row>
        <row r="12">
          <cell r="A12">
            <v>9</v>
          </cell>
          <cell r="B12" t="str">
            <v xml:space="preserve"> 人工挖普通土－30%砂礫</v>
          </cell>
          <cell r="C12" t="str">
            <v/>
          </cell>
          <cell r="D12" t="str">
            <v></v>
          </cell>
          <cell r="E12">
            <v>180</v>
          </cell>
          <cell r="F12" t="str">
            <v>統一單價</v>
          </cell>
        </row>
        <row r="13">
          <cell r="A13">
            <v>10</v>
          </cell>
          <cell r="B13" t="str">
            <v xml:space="preserve"> 人工挖礫石土</v>
          </cell>
          <cell r="D13" t="str">
            <v></v>
          </cell>
          <cell r="E13">
            <v>191</v>
          </cell>
          <cell r="F13" t="str">
            <v>統一單價</v>
          </cell>
        </row>
        <row r="14">
          <cell r="A14">
            <v>11</v>
          </cell>
          <cell r="B14" t="str">
            <v xml:space="preserve"> 人工挖卵、塊石</v>
          </cell>
          <cell r="D14" t="str">
            <v></v>
          </cell>
          <cell r="E14">
            <v>214</v>
          </cell>
          <cell r="F14" t="str">
            <v>統一單價</v>
          </cell>
        </row>
        <row r="15">
          <cell r="A15">
            <v>12</v>
          </cell>
          <cell r="B15" t="str">
            <v xml:space="preserve"> 人工挖軟岩</v>
          </cell>
          <cell r="D15" t="str">
            <v></v>
          </cell>
          <cell r="E15">
            <v>451</v>
          </cell>
          <cell r="F15" t="str">
            <v>統一單價</v>
          </cell>
        </row>
        <row r="16">
          <cell r="A16">
            <v>13</v>
          </cell>
          <cell r="B16" t="str">
            <v xml:space="preserve"> 人工挖硬岩</v>
          </cell>
          <cell r="D16" t="str">
            <v></v>
          </cell>
          <cell r="E16">
            <v>937</v>
          </cell>
          <cell r="F16" t="str">
            <v>統一單價</v>
          </cell>
        </row>
        <row r="17">
          <cell r="A17">
            <v>14</v>
          </cell>
          <cell r="B17" t="str">
            <v xml:space="preserve"> 人工挖青灰岩</v>
          </cell>
          <cell r="D17" t="str">
            <v></v>
          </cell>
          <cell r="E17">
            <v>455</v>
          </cell>
          <cell r="F17" t="str">
            <v>統一單價</v>
          </cell>
        </row>
        <row r="18">
          <cell r="A18">
            <v>15</v>
          </cell>
          <cell r="B18" t="str">
            <v xml:space="preserve"> 人工挖基礎(普通土)</v>
          </cell>
          <cell r="C18" t="str">
            <v>挖深 1m</v>
          </cell>
          <cell r="D18" t="str">
            <v></v>
          </cell>
          <cell r="E18">
            <v>161</v>
          </cell>
          <cell r="F18" t="str">
            <v>統一單價</v>
          </cell>
        </row>
        <row r="19">
          <cell r="A19">
            <v>16</v>
          </cell>
          <cell r="B19" t="str">
            <v xml:space="preserve"> 人工挖基礎(普通土)</v>
          </cell>
          <cell r="C19" t="str">
            <v>挖深 2m</v>
          </cell>
          <cell r="D19" t="str">
            <v></v>
          </cell>
          <cell r="E19">
            <v>182</v>
          </cell>
          <cell r="F19" t="str">
            <v>統一單價</v>
          </cell>
        </row>
        <row r="20">
          <cell r="A20">
            <v>17</v>
          </cell>
          <cell r="B20" t="str">
            <v xml:space="preserve"> 人工挖基礎(普通土)</v>
          </cell>
          <cell r="C20" t="str">
            <v>挖深 3m</v>
          </cell>
          <cell r="D20" t="str">
            <v></v>
          </cell>
          <cell r="E20">
            <v>252</v>
          </cell>
          <cell r="F20" t="str">
            <v>統一單價</v>
          </cell>
        </row>
        <row r="21">
          <cell r="A21">
            <v>18</v>
          </cell>
          <cell r="B21" t="str">
            <v xml:space="preserve"> 人工挖基礎(普通土)</v>
          </cell>
          <cell r="C21" t="str">
            <v>挖深 4m</v>
          </cell>
          <cell r="D21" t="str">
            <v></v>
          </cell>
          <cell r="E21">
            <v>364</v>
          </cell>
          <cell r="F21" t="str">
            <v>統一單價</v>
          </cell>
        </row>
        <row r="22">
          <cell r="A22">
            <v>19</v>
          </cell>
          <cell r="B22" t="str">
            <v xml:space="preserve"> 人工挖基礎(普通土)</v>
          </cell>
          <cell r="C22" t="str">
            <v>挖深 5m</v>
          </cell>
          <cell r="D22" t="str">
            <v></v>
          </cell>
          <cell r="E22">
            <v>466</v>
          </cell>
          <cell r="F22" t="str">
            <v>統一單價</v>
          </cell>
        </row>
        <row r="23">
          <cell r="A23">
            <v>20</v>
          </cell>
          <cell r="B23" t="str">
            <v xml:space="preserve"> 人工挖基礎(含30%砂礫)</v>
          </cell>
          <cell r="C23" t="str">
            <v>挖深1m</v>
          </cell>
          <cell r="D23" t="str">
            <v></v>
          </cell>
          <cell r="E23">
            <v>182</v>
          </cell>
          <cell r="F23" t="str">
            <v>統一單價</v>
          </cell>
        </row>
        <row r="24">
          <cell r="A24">
            <v>21</v>
          </cell>
          <cell r="B24" t="str">
            <v xml:space="preserve"> 人工挖基礎(含30%砂礫)</v>
          </cell>
          <cell r="C24" t="str">
            <v>挖深2m</v>
          </cell>
          <cell r="D24" t="str">
            <v></v>
          </cell>
          <cell r="E24">
            <v>214</v>
          </cell>
          <cell r="F24" t="str">
            <v>統一單價</v>
          </cell>
        </row>
        <row r="25">
          <cell r="A25">
            <v>22</v>
          </cell>
          <cell r="B25" t="str">
            <v xml:space="preserve"> 人工挖基礎(含30%砂礫)</v>
          </cell>
          <cell r="C25" t="str">
            <v>挖深3m</v>
          </cell>
          <cell r="D25" t="str">
            <v></v>
          </cell>
          <cell r="E25">
            <v>305</v>
          </cell>
          <cell r="F25" t="str">
            <v>統一單價</v>
          </cell>
        </row>
        <row r="26">
          <cell r="A26">
            <v>23</v>
          </cell>
          <cell r="B26" t="str">
            <v xml:space="preserve"> 人工挖基礎(含30%砂礫)</v>
          </cell>
          <cell r="C26" t="str">
            <v>挖深4m</v>
          </cell>
          <cell r="D26" t="str">
            <v></v>
          </cell>
          <cell r="E26">
            <v>412</v>
          </cell>
          <cell r="F26" t="str">
            <v>統一單價</v>
          </cell>
        </row>
        <row r="27">
          <cell r="A27">
            <v>24</v>
          </cell>
          <cell r="B27" t="str">
            <v xml:space="preserve"> 人工挖基礎(含30%砂礫)</v>
          </cell>
          <cell r="C27" t="str">
            <v>挖深5m</v>
          </cell>
          <cell r="D27" t="str">
            <v></v>
          </cell>
          <cell r="E27">
            <v>546</v>
          </cell>
          <cell r="F27" t="str">
            <v>統一單價</v>
          </cell>
        </row>
        <row r="28">
          <cell r="A28">
            <v>25</v>
          </cell>
          <cell r="B28" t="str">
            <v xml:space="preserve"> 人工挖基礎(礫石土)</v>
          </cell>
          <cell r="C28" t="str">
            <v>挖深 1m</v>
          </cell>
          <cell r="D28" t="str">
            <v></v>
          </cell>
          <cell r="E28">
            <v>193</v>
          </cell>
          <cell r="F28" t="str">
            <v>統一單價</v>
          </cell>
        </row>
        <row r="29">
          <cell r="A29">
            <v>26</v>
          </cell>
          <cell r="B29" t="str">
            <v xml:space="preserve"> 人工挖基礎(礫石土)</v>
          </cell>
          <cell r="C29" t="str">
            <v>挖深 2m</v>
          </cell>
          <cell r="D29" t="str">
            <v></v>
          </cell>
          <cell r="E29">
            <v>252</v>
          </cell>
          <cell r="F29" t="str">
            <v>統一單價</v>
          </cell>
        </row>
        <row r="30">
          <cell r="A30">
            <v>27</v>
          </cell>
          <cell r="B30" t="str">
            <v xml:space="preserve"> 人工挖基礎(礫石土)</v>
          </cell>
          <cell r="C30" t="str">
            <v>挖深 3m</v>
          </cell>
          <cell r="D30" t="str">
            <v></v>
          </cell>
          <cell r="E30">
            <v>359</v>
          </cell>
          <cell r="F30" t="str">
            <v>統一單價</v>
          </cell>
        </row>
        <row r="31">
          <cell r="A31">
            <v>28</v>
          </cell>
          <cell r="B31" t="str">
            <v xml:space="preserve"> 人工挖基礎(礫石土)</v>
          </cell>
          <cell r="C31" t="str">
            <v>挖深 4m</v>
          </cell>
          <cell r="D31" t="str">
            <v></v>
          </cell>
          <cell r="E31">
            <v>487</v>
          </cell>
          <cell r="F31" t="str">
            <v>統一單價</v>
          </cell>
        </row>
        <row r="32">
          <cell r="A32">
            <v>29</v>
          </cell>
          <cell r="B32" t="str">
            <v xml:space="preserve"> 人工挖基礎(礫石土)</v>
          </cell>
          <cell r="C32" t="str">
            <v>挖深 5m</v>
          </cell>
          <cell r="D32" t="str">
            <v></v>
          </cell>
          <cell r="E32">
            <v>637</v>
          </cell>
          <cell r="F32" t="str">
            <v>統一單價</v>
          </cell>
        </row>
        <row r="33">
          <cell r="A33">
            <v>30</v>
          </cell>
          <cell r="B33" t="str">
            <v xml:space="preserve"> 人工挖基礎(卵塊石)</v>
          </cell>
          <cell r="C33" t="str">
            <v>挖深 1m</v>
          </cell>
          <cell r="D33" t="str">
            <v></v>
          </cell>
          <cell r="E33">
            <v>214</v>
          </cell>
          <cell r="F33" t="str">
            <v>統一單價</v>
          </cell>
        </row>
        <row r="34">
          <cell r="A34">
            <v>31</v>
          </cell>
          <cell r="B34" t="str">
            <v xml:space="preserve"> 人工挖基礎(卵塊石)</v>
          </cell>
          <cell r="C34" t="str">
            <v>挖深 2m</v>
          </cell>
          <cell r="D34" t="str">
            <v></v>
          </cell>
          <cell r="E34">
            <v>311</v>
          </cell>
          <cell r="F34" t="str">
            <v>統一單價</v>
          </cell>
        </row>
        <row r="35">
          <cell r="A35">
            <v>32</v>
          </cell>
          <cell r="B35" t="str">
            <v xml:space="preserve"> 人工挖基礎(卵塊石)</v>
          </cell>
          <cell r="C35" t="str">
            <v>挖深 3m</v>
          </cell>
          <cell r="D35" t="str">
            <v></v>
          </cell>
          <cell r="E35">
            <v>439</v>
          </cell>
          <cell r="F35" t="str">
            <v>統一單價</v>
          </cell>
        </row>
        <row r="36">
          <cell r="A36">
            <v>33</v>
          </cell>
          <cell r="B36" t="str">
            <v xml:space="preserve"> 人工挖基礎(卵塊石)</v>
          </cell>
          <cell r="C36" t="str">
            <v>挖深 4m</v>
          </cell>
          <cell r="D36" t="str">
            <v></v>
          </cell>
          <cell r="E36">
            <v>578</v>
          </cell>
          <cell r="F36" t="str">
            <v>統一單價</v>
          </cell>
        </row>
        <row r="37">
          <cell r="A37">
            <v>34</v>
          </cell>
          <cell r="B37" t="str">
            <v xml:space="preserve"> 人工挖基礎(卵塊石)</v>
          </cell>
          <cell r="C37" t="str">
            <v>挖深 5m</v>
          </cell>
          <cell r="D37" t="str">
            <v></v>
          </cell>
          <cell r="E37">
            <v>728</v>
          </cell>
          <cell r="F37" t="str">
            <v>統一單價</v>
          </cell>
        </row>
        <row r="38">
          <cell r="A38">
            <v>35</v>
          </cell>
          <cell r="B38" t="str">
            <v xml:space="preserve"> 挖軟岩基礎(人工炸藥)</v>
          </cell>
          <cell r="C38" t="str">
            <v>挖深 1m</v>
          </cell>
          <cell r="D38" t="str">
            <v></v>
          </cell>
          <cell r="E38">
            <v>304</v>
          </cell>
          <cell r="F38" t="str">
            <v>統一單價</v>
          </cell>
        </row>
        <row r="39">
          <cell r="A39">
            <v>36</v>
          </cell>
          <cell r="B39" t="str">
            <v xml:space="preserve"> 挖軟岩基礎(人工炸藥)</v>
          </cell>
          <cell r="C39" t="str">
            <v>挖深 2m</v>
          </cell>
          <cell r="D39" t="str">
            <v></v>
          </cell>
          <cell r="E39">
            <v>618</v>
          </cell>
          <cell r="F39" t="str">
            <v>統一單價</v>
          </cell>
        </row>
        <row r="40">
          <cell r="A40">
            <v>37</v>
          </cell>
          <cell r="B40" t="str">
            <v xml:space="preserve"> 挖軟岩基礎(人工炸藥)</v>
          </cell>
          <cell r="C40" t="str">
            <v>挖深 3m</v>
          </cell>
          <cell r="D40" t="str">
            <v></v>
          </cell>
          <cell r="E40">
            <v>906</v>
          </cell>
          <cell r="F40" t="str">
            <v>統一單價</v>
          </cell>
        </row>
        <row r="41">
          <cell r="A41">
            <v>38</v>
          </cell>
          <cell r="B41" t="str">
            <v xml:space="preserve"> 挖硬岩基礎(人工炸藥)</v>
          </cell>
          <cell r="C41" t="str">
            <v>挖深 1m</v>
          </cell>
          <cell r="D41" t="str">
            <v></v>
          </cell>
          <cell r="E41">
            <v>490</v>
          </cell>
          <cell r="F41" t="str">
            <v>統一單價</v>
          </cell>
        </row>
        <row r="42">
          <cell r="A42">
            <v>39</v>
          </cell>
          <cell r="B42" t="str">
            <v xml:space="preserve"> 挖硬岩基礎(人工炸藥)</v>
          </cell>
          <cell r="C42" t="str">
            <v>挖深 2m</v>
          </cell>
          <cell r="D42" t="str">
            <v></v>
          </cell>
          <cell r="E42">
            <v>927</v>
          </cell>
          <cell r="F42" t="str">
            <v>統一單價</v>
          </cell>
        </row>
        <row r="43">
          <cell r="A43">
            <v>40</v>
          </cell>
          <cell r="B43" t="str">
            <v xml:space="preserve"> 人工水中挖基礎</v>
          </cell>
          <cell r="C43" t="str">
            <v>普通土  挖深 1m</v>
          </cell>
          <cell r="D43" t="str">
            <v></v>
          </cell>
          <cell r="E43">
            <v>225</v>
          </cell>
          <cell r="F43" t="str">
            <v>統一單價</v>
          </cell>
        </row>
        <row r="44">
          <cell r="A44">
            <v>41</v>
          </cell>
          <cell r="B44" t="str">
            <v xml:space="preserve"> 人工水中挖基礎</v>
          </cell>
          <cell r="C44" t="str">
            <v>普通土  挖深 2m</v>
          </cell>
          <cell r="D44" t="str">
            <v></v>
          </cell>
          <cell r="E44">
            <v>295</v>
          </cell>
          <cell r="F44" t="str">
            <v>統一單價</v>
          </cell>
        </row>
        <row r="45">
          <cell r="A45">
            <v>42</v>
          </cell>
          <cell r="B45" t="str">
            <v xml:space="preserve"> 人工水中挖基礎</v>
          </cell>
          <cell r="C45" t="str">
            <v>普通土  挖深 3m</v>
          </cell>
          <cell r="D45" t="str">
            <v></v>
          </cell>
          <cell r="E45">
            <v>434</v>
          </cell>
          <cell r="F45" t="str">
            <v>統一單價</v>
          </cell>
        </row>
        <row r="46">
          <cell r="A46">
            <v>43</v>
          </cell>
          <cell r="B46" t="str">
            <v xml:space="preserve"> 人工水中挖基礎</v>
          </cell>
          <cell r="C46" t="str">
            <v>普通土  挖深 4m</v>
          </cell>
          <cell r="D46" t="str">
            <v></v>
          </cell>
          <cell r="E46">
            <v>568</v>
          </cell>
          <cell r="F46" t="str">
            <v>統一單價</v>
          </cell>
        </row>
        <row r="47">
          <cell r="A47">
            <v>44</v>
          </cell>
          <cell r="B47" t="str">
            <v xml:space="preserve"> 人工水中挖基礎</v>
          </cell>
          <cell r="C47" t="str">
            <v>普通土  挖深 5m</v>
          </cell>
          <cell r="D47" t="str">
            <v></v>
          </cell>
          <cell r="E47">
            <v>707</v>
          </cell>
          <cell r="F47" t="str">
            <v>統一單價</v>
          </cell>
        </row>
        <row r="48">
          <cell r="A48">
            <v>45</v>
          </cell>
          <cell r="B48" t="str">
            <v xml:space="preserve"> 人工水中挖基礎</v>
          </cell>
          <cell r="C48" t="str">
            <v>30%砂礫  挖深1m</v>
          </cell>
          <cell r="D48" t="str">
            <v></v>
          </cell>
          <cell r="E48">
            <v>257</v>
          </cell>
          <cell r="F48" t="str">
            <v>統一單價</v>
          </cell>
        </row>
        <row r="49">
          <cell r="A49">
            <v>46</v>
          </cell>
          <cell r="B49" t="str">
            <v xml:space="preserve"> 人工水中挖基礎</v>
          </cell>
          <cell r="C49" t="str">
            <v>30%砂礫  挖深2m</v>
          </cell>
          <cell r="D49" t="str">
            <v></v>
          </cell>
          <cell r="E49">
            <v>348</v>
          </cell>
          <cell r="F49" t="str">
            <v>統一單價</v>
          </cell>
        </row>
        <row r="50">
          <cell r="A50">
            <v>47</v>
          </cell>
          <cell r="B50" t="str">
            <v xml:space="preserve"> 人工水中挖基礎</v>
          </cell>
          <cell r="C50" t="str">
            <v>30%砂礫  挖深3m</v>
          </cell>
          <cell r="D50" t="str">
            <v></v>
          </cell>
          <cell r="E50">
            <v>482</v>
          </cell>
          <cell r="F50" t="str">
            <v>統一單價</v>
          </cell>
        </row>
        <row r="51">
          <cell r="A51">
            <v>48</v>
          </cell>
          <cell r="B51" t="str">
            <v xml:space="preserve"> 人工水中挖基礎</v>
          </cell>
          <cell r="C51" t="str">
            <v>30%砂礫  挖深4m</v>
          </cell>
          <cell r="D51" t="str">
            <v></v>
          </cell>
          <cell r="E51">
            <v>621</v>
          </cell>
          <cell r="F51" t="str">
            <v>統一單價</v>
          </cell>
        </row>
        <row r="52">
          <cell r="A52">
            <v>49</v>
          </cell>
          <cell r="B52" t="str">
            <v xml:space="preserve"> 人工水中挖基礎</v>
          </cell>
          <cell r="C52" t="str">
            <v>30%砂礫  挖深5m</v>
          </cell>
          <cell r="D52" t="str">
            <v></v>
          </cell>
          <cell r="E52">
            <v>803</v>
          </cell>
          <cell r="F52" t="str">
            <v>統一單價</v>
          </cell>
        </row>
        <row r="53">
          <cell r="A53">
            <v>50</v>
          </cell>
          <cell r="B53" t="str">
            <v xml:space="preserve"> 人工水中挖基礎</v>
          </cell>
          <cell r="C53" t="str">
            <v>礫石土  挖深 1m</v>
          </cell>
          <cell r="D53" t="str">
            <v></v>
          </cell>
          <cell r="E53">
            <v>295</v>
          </cell>
          <cell r="F53" t="str">
            <v>統一單價</v>
          </cell>
        </row>
        <row r="54">
          <cell r="A54">
            <v>51</v>
          </cell>
          <cell r="B54" t="str">
            <v xml:space="preserve"> 人工水中挖基礎</v>
          </cell>
          <cell r="C54" t="str">
            <v>礫石土  挖深 2m</v>
          </cell>
          <cell r="D54" t="str">
            <v></v>
          </cell>
          <cell r="E54">
            <v>434</v>
          </cell>
          <cell r="F54" t="str">
            <v>統一單價</v>
          </cell>
        </row>
        <row r="55">
          <cell r="A55">
            <v>52</v>
          </cell>
          <cell r="B55" t="str">
            <v xml:space="preserve"> 人工水中挖基礎</v>
          </cell>
          <cell r="C55" t="str">
            <v>礫石土  挖深 3m</v>
          </cell>
          <cell r="D55" t="str">
            <v></v>
          </cell>
          <cell r="E55">
            <v>616</v>
          </cell>
          <cell r="F55" t="str">
            <v>統一單價</v>
          </cell>
        </row>
        <row r="56">
          <cell r="A56">
            <v>53</v>
          </cell>
          <cell r="B56" t="str">
            <v xml:space="preserve"> 人工水中挖基礎</v>
          </cell>
          <cell r="C56" t="str">
            <v>礫石土  挖深 4m</v>
          </cell>
          <cell r="D56" t="str">
            <v></v>
          </cell>
          <cell r="E56">
            <v>798</v>
          </cell>
          <cell r="F56" t="str">
            <v>統一單價</v>
          </cell>
        </row>
        <row r="57">
          <cell r="A57">
            <v>54</v>
          </cell>
          <cell r="B57" t="str">
            <v xml:space="preserve"> 人工水中挖基礎</v>
          </cell>
          <cell r="C57" t="str">
            <v>礫石土  挖深 5m</v>
          </cell>
          <cell r="D57" t="str">
            <v></v>
          </cell>
          <cell r="E57">
            <v>1023</v>
          </cell>
          <cell r="F57" t="str">
            <v>統一單價</v>
          </cell>
        </row>
        <row r="58">
          <cell r="A58">
            <v>55</v>
          </cell>
          <cell r="B58" t="str">
            <v xml:space="preserve"> 人工水中挖基礎</v>
          </cell>
          <cell r="C58" t="str">
            <v>軟岩  挖深 1m</v>
          </cell>
          <cell r="D58" t="str">
            <v></v>
          </cell>
          <cell r="E58">
            <v>696</v>
          </cell>
          <cell r="F58" t="str">
            <v>統一單價</v>
          </cell>
        </row>
        <row r="59">
          <cell r="A59">
            <v>56</v>
          </cell>
          <cell r="B59" t="str">
            <v xml:space="preserve"> 人工水中挖基礎</v>
          </cell>
          <cell r="C59" t="str">
            <v>軟岩  挖深 2m</v>
          </cell>
          <cell r="D59" t="str">
            <v></v>
          </cell>
          <cell r="E59">
            <v>964</v>
          </cell>
          <cell r="F59" t="str">
            <v>統一單價</v>
          </cell>
        </row>
        <row r="60">
          <cell r="A60">
            <v>57</v>
          </cell>
          <cell r="B60" t="str">
            <v xml:space="preserve"> 人工水中挖基礎</v>
          </cell>
          <cell r="C60" t="str">
            <v>軟岩  挖深 3m</v>
          </cell>
          <cell r="D60" t="str">
            <v></v>
          </cell>
          <cell r="E60">
            <v>1607</v>
          </cell>
          <cell r="F60" t="str">
            <v>統一單價</v>
          </cell>
        </row>
        <row r="61">
          <cell r="A61">
            <v>58</v>
          </cell>
          <cell r="B61" t="str">
            <v xml:space="preserve"> 挖土石方</v>
          </cell>
          <cell r="C61" t="str">
            <v>推土機作業</v>
          </cell>
          <cell r="D61" t="str">
            <v></v>
          </cell>
          <cell r="E61">
            <v>29</v>
          </cell>
          <cell r="F61" t="str">
            <v>統一單價</v>
          </cell>
        </row>
        <row r="62">
          <cell r="A62">
            <v>59</v>
          </cell>
          <cell r="B62" t="str">
            <v xml:space="preserve"> 機械挖普通土</v>
          </cell>
          <cell r="D62" t="str">
            <v></v>
          </cell>
          <cell r="E62">
            <v>44</v>
          </cell>
          <cell r="F62" t="str">
            <v>統一單價</v>
          </cell>
        </row>
        <row r="63">
          <cell r="A63">
            <v>60</v>
          </cell>
          <cell r="B63" t="str">
            <v xml:space="preserve"> 挖普通土－30%以上砂礫</v>
          </cell>
          <cell r="D63" t="str">
            <v></v>
          </cell>
          <cell r="E63">
            <v>58</v>
          </cell>
          <cell r="F63" t="str">
            <v>統一單價</v>
          </cell>
        </row>
        <row r="64">
          <cell r="A64">
            <v>61</v>
          </cell>
          <cell r="B64" t="str">
            <v xml:space="preserve"> 挖卵、塊石土、硬黏土</v>
          </cell>
          <cell r="D64" t="str">
            <v></v>
          </cell>
          <cell r="E64">
            <v>80</v>
          </cell>
          <cell r="F64" t="str">
            <v>統一單價</v>
          </cell>
        </row>
        <row r="65">
          <cell r="A65">
            <v>62</v>
          </cell>
          <cell r="B65" t="str">
            <v xml:space="preserve"> 機械挖硬岩</v>
          </cell>
          <cell r="D65" t="str">
            <v></v>
          </cell>
          <cell r="E65">
            <v>289</v>
          </cell>
          <cell r="F65" t="str">
            <v>統一單價</v>
          </cell>
        </row>
        <row r="66">
          <cell r="A66">
            <v>63</v>
          </cell>
          <cell r="B66" t="str">
            <v xml:space="preserve"> 機械挖軟岩</v>
          </cell>
          <cell r="D66" t="str">
            <v></v>
          </cell>
          <cell r="E66">
            <v>166</v>
          </cell>
          <cell r="F66" t="str">
            <v>統一單價</v>
          </cell>
        </row>
        <row r="67">
          <cell r="A67">
            <v>64</v>
          </cell>
          <cell r="B67" t="str">
            <v xml:space="preserve"> 回填土 (人工)</v>
          </cell>
          <cell r="D67" t="str">
            <v></v>
          </cell>
          <cell r="E67">
            <v>31</v>
          </cell>
          <cell r="F67" t="str">
            <v>統一單價</v>
          </cell>
        </row>
        <row r="68">
          <cell r="A68">
            <v>65</v>
          </cell>
          <cell r="B68" t="str">
            <v xml:space="preserve"> 回填土 (機械)</v>
          </cell>
          <cell r="D68" t="str">
            <v></v>
          </cell>
          <cell r="E68">
            <v>13</v>
          </cell>
          <cell r="F68" t="str">
            <v>統一單價</v>
          </cell>
        </row>
        <row r="69">
          <cell r="A69">
            <v>66</v>
          </cell>
          <cell r="B69" t="str">
            <v xml:space="preserve"> 機械打除鋼筋混凝土</v>
          </cell>
          <cell r="D69" t="str">
            <v></v>
          </cell>
          <cell r="E69">
            <v>196</v>
          </cell>
          <cell r="F69" t="str">
            <v>統一單價</v>
          </cell>
        </row>
        <row r="70">
          <cell r="A70">
            <v>67</v>
          </cell>
          <cell r="B70" t="str">
            <v xml:space="preserve"> 機械打除混凝土砌塊石</v>
          </cell>
          <cell r="D70" t="str">
            <v></v>
          </cell>
          <cell r="E70">
            <v>24</v>
          </cell>
          <cell r="F70" t="str">
            <v>統一單價</v>
          </cell>
        </row>
        <row r="71">
          <cell r="A71">
            <v>68</v>
          </cell>
          <cell r="B71" t="str">
            <v xml:space="preserve"> 機械打除 1:3:6 混凝土</v>
          </cell>
          <cell r="D71" t="str">
            <v></v>
          </cell>
          <cell r="E71">
            <v>86</v>
          </cell>
          <cell r="F71" t="str">
            <v>統一單價</v>
          </cell>
        </row>
        <row r="72">
          <cell r="A72">
            <v>69</v>
          </cell>
          <cell r="B72" t="str">
            <v xml:space="preserve"> 鋼筋加工及組立</v>
          </cell>
          <cell r="D72" t="str">
            <v>噸</v>
          </cell>
          <cell r="E72">
            <v>4895</v>
          </cell>
          <cell r="F72" t="str">
            <v>統一單價</v>
          </cell>
        </row>
        <row r="73">
          <cell r="A73">
            <v>70</v>
          </cell>
          <cell r="B73" t="str">
            <v xml:space="preserve"> 175kg/c㎡及以下PC</v>
          </cell>
          <cell r="C73" t="str">
            <v>澆注費</v>
          </cell>
          <cell r="D73" t="str">
            <v></v>
          </cell>
          <cell r="E73">
            <v>180</v>
          </cell>
          <cell r="F73" t="str">
            <v>統一單價</v>
          </cell>
        </row>
        <row r="74">
          <cell r="A74">
            <v>71</v>
          </cell>
          <cell r="B74" t="str">
            <v xml:space="preserve"> 210kg/c㎡及以上PC</v>
          </cell>
          <cell r="C74" t="str">
            <v>澆注費</v>
          </cell>
          <cell r="D74" t="str">
            <v></v>
          </cell>
          <cell r="E74">
            <v>200</v>
          </cell>
          <cell r="F74" t="str">
            <v>統一單價</v>
          </cell>
        </row>
        <row r="75">
          <cell r="A75">
            <v>73</v>
          </cell>
          <cell r="B75" t="str">
            <v xml:space="preserve"> 軀體模板製作及裝拆</v>
          </cell>
          <cell r="C75" t="str">
            <v>裸露</v>
          </cell>
          <cell r="D75" t="str">
            <v></v>
          </cell>
          <cell r="E75">
            <v>184</v>
          </cell>
          <cell r="F75" t="str">
            <v>統一單價</v>
          </cell>
        </row>
        <row r="76">
          <cell r="A76">
            <v>72</v>
          </cell>
          <cell r="B76" t="str">
            <v xml:space="preserve"> 基礎模板製作及裝拆</v>
          </cell>
          <cell r="C76" t="str">
            <v>隱蔽</v>
          </cell>
          <cell r="D76" t="str">
            <v></v>
          </cell>
          <cell r="E76">
            <v>171</v>
          </cell>
          <cell r="F76" t="str">
            <v>統一單價</v>
          </cell>
        </row>
        <row r="77">
          <cell r="A77">
            <v>74</v>
          </cell>
          <cell r="B77" t="str">
            <v xml:space="preserve"> 結構模板製作及裝拆</v>
          </cell>
          <cell r="D77" t="str">
            <v></v>
          </cell>
          <cell r="E77">
            <v>331</v>
          </cell>
          <cell r="F77" t="str">
            <v>統一單價</v>
          </cell>
        </row>
        <row r="78">
          <cell r="A78">
            <v>75</v>
          </cell>
          <cell r="B78" t="str">
            <v xml:space="preserve"> 預鑄樑模板製作及裝拆</v>
          </cell>
          <cell r="D78" t="str">
            <v></v>
          </cell>
          <cell r="E78">
            <v>230</v>
          </cell>
          <cell r="F78" t="str">
            <v>統一單價</v>
          </cell>
        </row>
        <row r="79">
          <cell r="A79">
            <v>76</v>
          </cell>
          <cell r="B79" t="str">
            <v xml:space="preserve"> 軀體鋼模製作及裝拆</v>
          </cell>
          <cell r="D79" t="str">
            <v></v>
          </cell>
          <cell r="E79">
            <v>217</v>
          </cell>
          <cell r="F79" t="str">
            <v>統一單價</v>
          </cell>
        </row>
        <row r="80">
          <cell r="A80">
            <v>77</v>
          </cell>
          <cell r="B80" t="str">
            <v xml:space="preserve"> 滾壓 (二次以上)</v>
          </cell>
          <cell r="C80" t="str">
            <v>滾壓機 8T以上</v>
          </cell>
          <cell r="D80" t="str">
            <v></v>
          </cell>
          <cell r="E80">
            <v>11</v>
          </cell>
          <cell r="F80" t="str">
            <v>統一單價</v>
          </cell>
        </row>
        <row r="81">
          <cell r="A81">
            <v>78</v>
          </cell>
          <cell r="B81" t="str">
            <v xml:space="preserve"> φ30cm 涵管埋設</v>
          </cell>
          <cell r="C81" t="str">
            <v>涵管長 2.54 m</v>
          </cell>
          <cell r="D81" t="str">
            <v>支</v>
          </cell>
          <cell r="E81">
            <v>145</v>
          </cell>
          <cell r="F81" t="str">
            <v>統一單價</v>
          </cell>
        </row>
        <row r="82">
          <cell r="A82">
            <v>79</v>
          </cell>
          <cell r="B82" t="str">
            <v xml:space="preserve"> φ45cm 涵管埋設</v>
          </cell>
          <cell r="C82" t="str">
            <v>涵管長 2.54 m</v>
          </cell>
          <cell r="D82" t="str">
            <v>支</v>
          </cell>
          <cell r="E82">
            <v>338</v>
          </cell>
          <cell r="F82" t="str">
            <v>統一單價</v>
          </cell>
        </row>
        <row r="83">
          <cell r="A83">
            <v>80</v>
          </cell>
          <cell r="B83" t="str">
            <v xml:space="preserve"> φ60cm 涵管埋設</v>
          </cell>
          <cell r="C83" t="str">
            <v>涵管長 2.54 m</v>
          </cell>
          <cell r="D83" t="str">
            <v>支</v>
          </cell>
          <cell r="E83">
            <v>458</v>
          </cell>
          <cell r="F83" t="str">
            <v>統一單價</v>
          </cell>
        </row>
        <row r="84">
          <cell r="A84">
            <v>81</v>
          </cell>
          <cell r="B84" t="str">
            <v xml:space="preserve"> φ75cm 涵管埋設</v>
          </cell>
          <cell r="C84" t="str">
            <v>涵管長 2.54 m</v>
          </cell>
          <cell r="D84" t="str">
            <v>支</v>
          </cell>
          <cell r="E84">
            <v>516</v>
          </cell>
          <cell r="F84" t="str">
            <v>統一單價</v>
          </cell>
        </row>
        <row r="85">
          <cell r="A85">
            <v>82</v>
          </cell>
          <cell r="B85" t="str">
            <v xml:space="preserve"> φ90cm 涵管埋設</v>
          </cell>
          <cell r="C85" t="str">
            <v>涵管長 2.54 m</v>
          </cell>
          <cell r="D85" t="str">
            <v>支</v>
          </cell>
          <cell r="E85">
            <v>731</v>
          </cell>
          <cell r="F85" t="str">
            <v>統一單價</v>
          </cell>
        </row>
        <row r="86">
          <cell r="A86">
            <v>83</v>
          </cell>
          <cell r="B86" t="str">
            <v xml:space="preserve"> φ100cm 涵管埋設</v>
          </cell>
          <cell r="C86" t="str">
            <v>涵管長 2.54 m</v>
          </cell>
          <cell r="D86" t="str">
            <v>支</v>
          </cell>
          <cell r="E86">
            <v>892</v>
          </cell>
          <cell r="F86" t="str">
            <v>統一單價</v>
          </cell>
        </row>
        <row r="87">
          <cell r="A87">
            <v>84</v>
          </cell>
          <cell r="B87" t="str">
            <v xml:space="preserve"> φ120cm 涵管埋設</v>
          </cell>
          <cell r="C87" t="str">
            <v>涵管長 2.54 m</v>
          </cell>
          <cell r="D87" t="str">
            <v>支</v>
          </cell>
          <cell r="E87">
            <v>1145</v>
          </cell>
          <cell r="F87" t="str">
            <v>統一單價</v>
          </cell>
        </row>
        <row r="88">
          <cell r="A88">
            <v>85</v>
          </cell>
          <cell r="B88" t="str">
            <v xml:space="preserve"> φ150cm 涵管埋設</v>
          </cell>
          <cell r="C88" t="str">
            <v>涵管長 2.54 m</v>
          </cell>
          <cell r="D88" t="str">
            <v>支</v>
          </cell>
          <cell r="E88">
            <v>1260</v>
          </cell>
          <cell r="F88" t="str">
            <v>統一單價</v>
          </cell>
        </row>
        <row r="89">
          <cell r="A89">
            <v>86</v>
          </cell>
          <cell r="B89" t="str">
            <v xml:space="preserve"> φ180cm 涵管埋設</v>
          </cell>
          <cell r="C89" t="str">
            <v>涵管長 2.54 m</v>
          </cell>
          <cell r="D89" t="str">
            <v>支</v>
          </cell>
          <cell r="E89">
            <v>1730</v>
          </cell>
          <cell r="F89" t="str">
            <v>統一單價</v>
          </cell>
        </row>
        <row r="90">
          <cell r="A90">
            <v>87</v>
          </cell>
          <cell r="B90" t="str">
            <v xml:space="preserve"> φ200cm 涵管埋設</v>
          </cell>
          <cell r="C90" t="str">
            <v>涵管長 2.54 m</v>
          </cell>
          <cell r="D90" t="str">
            <v>支</v>
          </cell>
          <cell r="E90">
            <v>2150</v>
          </cell>
          <cell r="F90" t="str">
            <v>統一單價</v>
          </cell>
        </row>
        <row r="91">
          <cell r="A91" t="str">
            <v>a0</v>
          </cell>
          <cell r="B91" t="str">
            <v>局 設 分 析 表</v>
          </cell>
        </row>
        <row r="92">
          <cell r="A92" t="str">
            <v>a39</v>
          </cell>
          <cell r="B92" t="str">
            <v xml:space="preserve"> 採 淨 砂</v>
          </cell>
          <cell r="C92" t="str">
            <v/>
          </cell>
          <cell r="D92" t="str">
            <v></v>
          </cell>
          <cell r="E92">
            <v>402.8</v>
          </cell>
          <cell r="F92" t="str">
            <v>單價分析</v>
          </cell>
        </row>
        <row r="93">
          <cell r="A93" t="str">
            <v>a40</v>
          </cell>
          <cell r="B93" t="str">
            <v xml:space="preserve"> 採淨石子</v>
          </cell>
          <cell r="C93" t="str">
            <v/>
          </cell>
          <cell r="D93" t="str">
            <v></v>
          </cell>
          <cell r="E93">
            <v>508.8</v>
          </cell>
          <cell r="F93" t="str">
            <v>單價分析</v>
          </cell>
        </row>
        <row r="94">
          <cell r="A94" t="str">
            <v>a41</v>
          </cell>
          <cell r="B94" t="str">
            <v xml:space="preserve"> 採淨塊石( φ20~30cm )</v>
          </cell>
          <cell r="C94" t="str">
            <v/>
          </cell>
          <cell r="D94" t="str">
            <v></v>
          </cell>
          <cell r="E94">
            <v>270.3</v>
          </cell>
          <cell r="F94" t="str">
            <v>單價分析</v>
          </cell>
        </row>
        <row r="95">
          <cell r="A95" t="str">
            <v>a43</v>
          </cell>
          <cell r="B95" t="str">
            <v xml:space="preserve"> 採天然級配</v>
          </cell>
          <cell r="C95" t="str">
            <v/>
          </cell>
          <cell r="D95" t="str">
            <v></v>
          </cell>
          <cell r="E95">
            <v>180.2</v>
          </cell>
          <cell r="F95" t="str">
            <v>單價分析</v>
          </cell>
        </row>
        <row r="96">
          <cell r="A96" t="str">
            <v>a44</v>
          </cell>
          <cell r="B96" t="str">
            <v xml:space="preserve"> 採背填卵石</v>
          </cell>
          <cell r="C96" t="str">
            <v/>
          </cell>
          <cell r="D96" t="str">
            <v></v>
          </cell>
          <cell r="E96">
            <v>190.8</v>
          </cell>
          <cell r="F96" t="str">
            <v>單價分析</v>
          </cell>
        </row>
        <row r="97">
          <cell r="A97" t="str">
            <v>a45</v>
          </cell>
          <cell r="B97" t="str">
            <v xml:space="preserve"> 採角石( 石長 25x25x30cm )</v>
          </cell>
          <cell r="C97" t="str">
            <v/>
          </cell>
          <cell r="D97" t="str">
            <v>塊</v>
          </cell>
          <cell r="E97">
            <v>53.099999999999994</v>
          </cell>
          <cell r="F97" t="str">
            <v>單價分析</v>
          </cell>
        </row>
        <row r="98">
          <cell r="A98" t="str">
            <v>a46</v>
          </cell>
          <cell r="B98" t="str">
            <v xml:space="preserve"> 採割石 ( 石面 0.04㎡ )</v>
          </cell>
          <cell r="C98" t="str">
            <v/>
          </cell>
          <cell r="D98" t="str">
            <v></v>
          </cell>
          <cell r="E98">
            <v>524.29999999999995</v>
          </cell>
          <cell r="F98" t="str">
            <v>單價分析</v>
          </cell>
        </row>
        <row r="99">
          <cell r="A99" t="str">
            <v>a47</v>
          </cell>
          <cell r="B99" t="str">
            <v xml:space="preserve"> 人工拌合1:2水泥砂漿</v>
          </cell>
          <cell r="C99" t="str">
            <v/>
          </cell>
          <cell r="D99" t="str">
            <v></v>
          </cell>
          <cell r="E99">
            <v>344.5</v>
          </cell>
          <cell r="F99" t="str">
            <v>單價分析</v>
          </cell>
        </row>
        <row r="100">
          <cell r="A100" t="str">
            <v>a48</v>
          </cell>
          <cell r="B100" t="str">
            <v xml:space="preserve"> 人工拌合1:3水泥砂漿</v>
          </cell>
          <cell r="C100" t="str">
            <v/>
          </cell>
          <cell r="D100" t="str">
            <v></v>
          </cell>
          <cell r="E100">
            <v>339.2</v>
          </cell>
          <cell r="F100" t="str">
            <v>單價分析</v>
          </cell>
        </row>
        <row r="101">
          <cell r="A101" t="str">
            <v>a49</v>
          </cell>
          <cell r="B101" t="str">
            <v xml:space="preserve"> 人工拌合1:4水泥砂漿</v>
          </cell>
          <cell r="C101" t="str">
            <v/>
          </cell>
          <cell r="D101" t="str">
            <v></v>
          </cell>
          <cell r="E101">
            <v>333.9</v>
          </cell>
          <cell r="F101" t="str">
            <v>單價分析</v>
          </cell>
        </row>
        <row r="102">
          <cell r="A102" t="str">
            <v>a50</v>
          </cell>
          <cell r="B102" t="str">
            <v xml:space="preserve"> 人工拌合350kg/c㎡混凝土</v>
          </cell>
          <cell r="C102" t="str">
            <v/>
          </cell>
          <cell r="D102" t="str">
            <v></v>
          </cell>
          <cell r="E102">
            <v>805.6</v>
          </cell>
          <cell r="F102" t="str">
            <v>單價分析</v>
          </cell>
        </row>
        <row r="103">
          <cell r="A103" t="str">
            <v>a51</v>
          </cell>
          <cell r="B103" t="str">
            <v xml:space="preserve"> 人工拌合210kg/c㎡混凝土</v>
          </cell>
          <cell r="C103" t="str">
            <v/>
          </cell>
          <cell r="D103" t="str">
            <v></v>
          </cell>
          <cell r="E103">
            <v>689</v>
          </cell>
          <cell r="F103" t="str">
            <v>單價分析</v>
          </cell>
        </row>
        <row r="104">
          <cell r="A104" t="str">
            <v>a52</v>
          </cell>
          <cell r="B104" t="str">
            <v xml:space="preserve"> 人工拌合140kg/c㎡混凝土</v>
          </cell>
          <cell r="C104" t="str">
            <v/>
          </cell>
          <cell r="D104" t="str">
            <v></v>
          </cell>
          <cell r="E104">
            <v>662.5</v>
          </cell>
          <cell r="F104" t="str">
            <v>單價分析</v>
          </cell>
        </row>
        <row r="105">
          <cell r="A105" t="str">
            <v>a53</v>
          </cell>
          <cell r="B105" t="str">
            <v xml:space="preserve"> 人工拌合125kg/c㎡混凝土</v>
          </cell>
          <cell r="C105" t="str">
            <v/>
          </cell>
          <cell r="D105" t="str">
            <v></v>
          </cell>
          <cell r="E105">
            <v>636</v>
          </cell>
          <cell r="F105" t="str">
            <v>單價分析</v>
          </cell>
        </row>
        <row r="106">
          <cell r="A106" t="str">
            <v>a55</v>
          </cell>
          <cell r="B106" t="str">
            <v xml:space="preserve"> 機拌 350kg/c㎡混凝土</v>
          </cell>
          <cell r="C106" t="str">
            <v/>
          </cell>
          <cell r="D106" t="str">
            <v></v>
          </cell>
          <cell r="E106">
            <v>514.36500000000001</v>
          </cell>
          <cell r="F106" t="str">
            <v>單價分析</v>
          </cell>
        </row>
        <row r="107">
          <cell r="A107" t="str">
            <v>a56</v>
          </cell>
          <cell r="B107" t="str">
            <v xml:space="preserve"> 機拌 210kg/c㎡混凝土</v>
          </cell>
          <cell r="C107" t="str">
            <v/>
          </cell>
          <cell r="D107" t="str">
            <v></v>
          </cell>
          <cell r="E107">
            <v>450.26</v>
          </cell>
          <cell r="F107" t="str">
            <v>單價分析</v>
          </cell>
        </row>
        <row r="108">
          <cell r="A108" t="str">
            <v>a57</v>
          </cell>
          <cell r="B108" t="str">
            <v xml:space="preserve"> 機拌 175kg/c㎡混凝土</v>
          </cell>
          <cell r="C108" t="str">
            <v/>
          </cell>
          <cell r="D108" t="str">
            <v></v>
          </cell>
          <cell r="E108">
            <v>428.45500000000004</v>
          </cell>
          <cell r="F108" t="str">
            <v>單價分析</v>
          </cell>
        </row>
        <row r="109">
          <cell r="A109" t="str">
            <v>a58</v>
          </cell>
          <cell r="B109" t="str">
            <v xml:space="preserve"> 機拌 140kg/c㎡混凝土</v>
          </cell>
          <cell r="C109" t="str">
            <v/>
          </cell>
          <cell r="D109" t="str">
            <v></v>
          </cell>
          <cell r="E109">
            <v>422.55</v>
          </cell>
          <cell r="F109" t="str">
            <v>單價分析</v>
          </cell>
        </row>
        <row r="110">
          <cell r="A110" t="str">
            <v>a59</v>
          </cell>
          <cell r="B110" t="str">
            <v xml:space="preserve"> 機拌 125kg/c㎡混凝土</v>
          </cell>
          <cell r="C110" t="str">
            <v/>
          </cell>
          <cell r="D110" t="str">
            <v></v>
          </cell>
          <cell r="E110">
            <v>421.94499999999999</v>
          </cell>
          <cell r="F110" t="str">
            <v>單價分析</v>
          </cell>
        </row>
        <row r="111">
          <cell r="A111" t="str">
            <v>a62</v>
          </cell>
          <cell r="B111" t="str">
            <v xml:space="preserve"> 7:3 卵(塊)石混凝土</v>
          </cell>
          <cell r="C111" t="str">
            <v/>
          </cell>
          <cell r="D111" t="str">
            <v></v>
          </cell>
          <cell r="E111">
            <v>137.80000000000001</v>
          </cell>
          <cell r="F111" t="str">
            <v>單價分析</v>
          </cell>
        </row>
        <row r="112">
          <cell r="A112" t="str">
            <v>a69</v>
          </cell>
          <cell r="B112" t="str">
            <v xml:space="preserve"> 粗砌塊石</v>
          </cell>
          <cell r="C112" t="str">
            <v/>
          </cell>
          <cell r="D112" t="str">
            <v></v>
          </cell>
          <cell r="E112">
            <v>78.400000000000006</v>
          </cell>
          <cell r="F112" t="str">
            <v>單價分析</v>
          </cell>
        </row>
        <row r="113">
          <cell r="A113" t="str">
            <v>a70</v>
          </cell>
          <cell r="B113" t="str">
            <v xml:space="preserve"> 混凝土砌塊石 φ20cm</v>
          </cell>
          <cell r="C113" t="str">
            <v/>
          </cell>
          <cell r="D113" t="str">
            <v></v>
          </cell>
          <cell r="E113">
            <v>106.79999999999998</v>
          </cell>
          <cell r="F113" t="str">
            <v>單價分析</v>
          </cell>
        </row>
        <row r="114">
          <cell r="A114" t="str">
            <v>a71</v>
          </cell>
          <cell r="B114" t="str">
            <v xml:space="preserve"> 混凝土砌塊石 φ25cm</v>
          </cell>
          <cell r="C114" t="str">
            <v/>
          </cell>
          <cell r="D114" t="str">
            <v></v>
          </cell>
          <cell r="E114">
            <v>112.1</v>
          </cell>
          <cell r="F114" t="str">
            <v>單價分析</v>
          </cell>
        </row>
        <row r="115">
          <cell r="A115" t="str">
            <v>a72</v>
          </cell>
          <cell r="B115" t="str">
            <v xml:space="preserve"> 混凝土砌塊石 φ30cm</v>
          </cell>
          <cell r="C115" t="str">
            <v/>
          </cell>
          <cell r="D115" t="str">
            <v></v>
          </cell>
          <cell r="E115">
            <v>117.4</v>
          </cell>
          <cell r="F115" t="str">
            <v>單價分析</v>
          </cell>
        </row>
        <row r="116">
          <cell r="A116" t="str">
            <v>a73</v>
          </cell>
          <cell r="B116" t="str">
            <v xml:space="preserve"> 混凝土砌角石 25x25x30cm</v>
          </cell>
          <cell r="C116" t="str">
            <v/>
          </cell>
          <cell r="D116" t="str">
            <v></v>
          </cell>
          <cell r="E116">
            <v>218.89999999999998</v>
          </cell>
          <cell r="F116" t="str">
            <v>單價分析</v>
          </cell>
        </row>
        <row r="117">
          <cell r="A117" t="str">
            <v>a74</v>
          </cell>
          <cell r="B117" t="str">
            <v xml:space="preserve"> 背填卵石</v>
          </cell>
          <cell r="C117" t="str">
            <v/>
          </cell>
          <cell r="D117" t="str">
            <v></v>
          </cell>
          <cell r="E117">
            <v>0</v>
          </cell>
          <cell r="F117" t="str">
            <v>單價分析</v>
          </cell>
        </row>
        <row r="118">
          <cell r="A118" t="str">
            <v>a75</v>
          </cell>
          <cell r="B118" t="str">
            <v xml:space="preserve"> 混凝土砌割石 ( 石面 0.04㎡ )</v>
          </cell>
          <cell r="C118" t="str">
            <v/>
          </cell>
          <cell r="D118" t="str">
            <v></v>
          </cell>
          <cell r="E118">
            <v>199.2</v>
          </cell>
          <cell r="F118" t="str">
            <v>單價分析</v>
          </cell>
        </row>
        <row r="119">
          <cell r="A119" t="str">
            <v>a78</v>
          </cell>
          <cell r="B119" t="str">
            <v xml:space="preserve"> 乾砌塊石(φ30cm)</v>
          </cell>
          <cell r="C119" t="str">
            <v/>
          </cell>
          <cell r="D119" t="str">
            <v></v>
          </cell>
          <cell r="E119">
            <v>108.7</v>
          </cell>
          <cell r="F119" t="str">
            <v>單價分析</v>
          </cell>
        </row>
        <row r="120">
          <cell r="A120" t="str">
            <v>a79</v>
          </cell>
          <cell r="B120" t="str">
            <v xml:space="preserve"> 排 塊 石</v>
          </cell>
          <cell r="C120" t="str">
            <v/>
          </cell>
          <cell r="D120" t="str">
            <v></v>
          </cell>
          <cell r="E120">
            <v>78.400000000000006</v>
          </cell>
          <cell r="F120" t="str">
            <v>單價分析</v>
          </cell>
        </row>
        <row r="121">
          <cell r="A121" t="str">
            <v>a81</v>
          </cell>
          <cell r="B121" t="str">
            <v xml:space="preserve"> 乾砌大塊石擋土牆</v>
          </cell>
          <cell r="C121" t="str">
            <v/>
          </cell>
          <cell r="D121" t="str">
            <v></v>
          </cell>
          <cell r="E121">
            <v>286.39999999999998</v>
          </cell>
          <cell r="F121" t="str">
            <v>單價分析</v>
          </cell>
        </row>
        <row r="122">
          <cell r="A122" t="str">
            <v>a82</v>
          </cell>
          <cell r="B122" t="str">
            <v xml:space="preserve"> 隱蔽模板製作及裝拆</v>
          </cell>
          <cell r="C122" t="str">
            <v>隱蔽</v>
          </cell>
          <cell r="D122" t="str">
            <v></v>
          </cell>
          <cell r="E122">
            <v>201.4</v>
          </cell>
          <cell r="F122" t="str">
            <v>單價分析</v>
          </cell>
        </row>
        <row r="123">
          <cell r="A123" t="str">
            <v>a83</v>
          </cell>
          <cell r="B123" t="str">
            <v xml:space="preserve"> 裸露模板製作及裝拆</v>
          </cell>
          <cell r="C123" t="str">
            <v>裸露</v>
          </cell>
          <cell r="D123" t="str">
            <v></v>
          </cell>
          <cell r="E123">
            <v>282.75</v>
          </cell>
          <cell r="F123" t="str">
            <v>單價分析</v>
          </cell>
        </row>
        <row r="124">
          <cell r="A124" t="str">
            <v>a84</v>
          </cell>
          <cell r="B124" t="str">
            <v xml:space="preserve"> 結構模板製作及裝拆</v>
          </cell>
          <cell r="C124" t="str">
            <v/>
          </cell>
          <cell r="D124" t="str">
            <v></v>
          </cell>
          <cell r="E124">
            <v>351.3</v>
          </cell>
          <cell r="F124" t="str">
            <v>單價分析</v>
          </cell>
        </row>
        <row r="125">
          <cell r="A125" t="str">
            <v>a86</v>
          </cell>
          <cell r="B125" t="str">
            <v xml:space="preserve"> 軀體鋼模製作及裝拆</v>
          </cell>
          <cell r="C125" t="str">
            <v/>
          </cell>
          <cell r="D125" t="str">
            <v></v>
          </cell>
          <cell r="E125">
            <v>78.8</v>
          </cell>
          <cell r="F125" t="str">
            <v>單價分析</v>
          </cell>
        </row>
        <row r="126">
          <cell r="A126" t="str">
            <v>a89</v>
          </cell>
          <cell r="B126" t="str">
            <v xml:space="preserve"> 鋪設級配路面(壓實厚t=15cm)</v>
          </cell>
          <cell r="C126" t="str">
            <v/>
          </cell>
          <cell r="D126" t="str">
            <v>100</v>
          </cell>
          <cell r="E126">
            <v>84.8</v>
          </cell>
          <cell r="F126" t="str">
            <v>單價分析</v>
          </cell>
        </row>
        <row r="127">
          <cell r="A127" t="str">
            <v>a92</v>
          </cell>
          <cell r="B127" t="str">
            <v xml:space="preserve"> 15cm厚碎石級配料底層舖壓</v>
          </cell>
          <cell r="C127" t="str">
            <v/>
          </cell>
          <cell r="D127" t="str">
            <v>100</v>
          </cell>
          <cell r="E127">
            <v>361.8</v>
          </cell>
          <cell r="F127" t="str">
            <v>單價分析</v>
          </cell>
        </row>
        <row r="128">
          <cell r="A128" t="str">
            <v>a93</v>
          </cell>
          <cell r="B128" t="str">
            <v xml:space="preserve"> 滾  壓</v>
          </cell>
          <cell r="C128" t="str">
            <v/>
          </cell>
          <cell r="D128" t="str">
            <v>100</v>
          </cell>
          <cell r="E128">
            <v>2760</v>
          </cell>
          <cell r="F128" t="str">
            <v>單價分析</v>
          </cell>
        </row>
        <row r="129">
          <cell r="A129" t="str">
            <v>a94</v>
          </cell>
          <cell r="B129" t="str">
            <v xml:space="preserve"> 5公分灌入式瀝青面層</v>
          </cell>
          <cell r="C129" t="str">
            <v>約工資部份3%</v>
          </cell>
          <cell r="D129" t="str">
            <v>100</v>
          </cell>
          <cell r="E129" t="str">
            <v xml:space="preserve"> 工具搬運及損耗</v>
          </cell>
          <cell r="F129" t="str">
            <v>單價分析</v>
          </cell>
        </row>
        <row r="130">
          <cell r="A130" t="str">
            <v>a95</v>
          </cell>
          <cell r="B130" t="str">
            <v xml:space="preserve"> 5公分瀝青混凝土面層</v>
          </cell>
          <cell r="C130" t="str">
            <v/>
          </cell>
          <cell r="D130" t="str">
            <v>100</v>
          </cell>
          <cell r="E130">
            <v>1433.5</v>
          </cell>
          <cell r="F130" t="str">
            <v>單價分析</v>
          </cell>
        </row>
        <row r="131">
          <cell r="A131" t="str">
            <v>a96</v>
          </cell>
          <cell r="B131" t="str">
            <v xml:space="preserve"> 透  層(人工)</v>
          </cell>
          <cell r="C131" t="str">
            <v/>
          </cell>
          <cell r="D131" t="str">
            <v>100</v>
          </cell>
          <cell r="E131">
            <v>532</v>
          </cell>
          <cell r="F131" t="str">
            <v>單價分析</v>
          </cell>
        </row>
        <row r="132">
          <cell r="A132" t="str">
            <v>a97</v>
          </cell>
          <cell r="B132" t="str">
            <v xml:space="preserve"> 粘  層</v>
          </cell>
          <cell r="C132" t="str">
            <v/>
          </cell>
          <cell r="D132" t="str">
            <v>100</v>
          </cell>
          <cell r="E132">
            <v>284</v>
          </cell>
          <cell r="F132" t="str">
            <v>單價分析</v>
          </cell>
        </row>
        <row r="133">
          <cell r="A133" t="str">
            <v>a98</v>
          </cell>
          <cell r="B133" t="str">
            <v xml:space="preserve"> 熱拌塑膠反光標線</v>
          </cell>
          <cell r="C133" t="str">
            <v/>
          </cell>
          <cell r="D133" t="str">
            <v></v>
          </cell>
          <cell r="E133">
            <v>17.8</v>
          </cell>
          <cell r="F133" t="str">
            <v>單價分析</v>
          </cell>
        </row>
        <row r="134">
          <cell r="A134" t="str">
            <v>a113</v>
          </cell>
          <cell r="B134" t="str">
            <v xml:space="preserve"> 軟式盲溝管埋設</v>
          </cell>
          <cell r="C134" t="str">
            <v/>
          </cell>
          <cell r="D134" t="str">
            <v>10m</v>
          </cell>
          <cell r="E134">
            <v>60.2</v>
          </cell>
          <cell r="F134" t="str">
            <v>單價分析</v>
          </cell>
        </row>
        <row r="135">
          <cell r="A135" t="str">
            <v>a122</v>
          </cell>
          <cell r="B135" t="str">
            <v xml:space="preserve"> 打 木 樁</v>
          </cell>
          <cell r="C135" t="str">
            <v/>
          </cell>
          <cell r="D135" t="str">
            <v>支</v>
          </cell>
          <cell r="E135">
            <v>53</v>
          </cell>
          <cell r="F135" t="str">
            <v>單價分析</v>
          </cell>
        </row>
        <row r="136">
          <cell r="A136" t="str">
            <v>a123</v>
          </cell>
          <cell r="B136" t="str">
            <v xml:space="preserve"> 打20cmφPC基樁</v>
          </cell>
          <cell r="C136" t="str">
            <v/>
          </cell>
          <cell r="D136" t="str">
            <v>支</v>
          </cell>
          <cell r="E136">
            <v>150.4</v>
          </cell>
          <cell r="F136" t="str">
            <v>單價分析</v>
          </cell>
        </row>
        <row r="137">
          <cell r="A137" t="str">
            <v>a127</v>
          </cell>
          <cell r="B137" t="str">
            <v xml:space="preserve"> 打40cm口鋼筋混凝土基樁</v>
          </cell>
          <cell r="C137" t="str">
            <v/>
          </cell>
          <cell r="D137" t="str">
            <v>支</v>
          </cell>
          <cell r="E137">
            <v>411</v>
          </cell>
          <cell r="F137" t="str">
            <v>單價分析</v>
          </cell>
        </row>
        <row r="138">
          <cell r="A138" t="str">
            <v>a137</v>
          </cell>
          <cell r="B138" t="str">
            <v xml:space="preserve"> 0.6mφ反循環鑽掘樁</v>
          </cell>
          <cell r="C138" t="str">
            <v/>
          </cell>
          <cell r="D138" t="str">
            <v>30m</v>
          </cell>
          <cell r="E138">
            <v>18180</v>
          </cell>
          <cell r="F138" t="str">
            <v>單價分析</v>
          </cell>
        </row>
        <row r="139">
          <cell r="A139" t="str">
            <v>a145</v>
          </cell>
          <cell r="B139" t="str">
            <v xml:space="preserve"> 609.6mmφ鋼管基樁</v>
          </cell>
          <cell r="C139" t="str">
            <v/>
          </cell>
          <cell r="D139" t="str">
            <v>30m</v>
          </cell>
          <cell r="E139">
            <v>4565</v>
          </cell>
          <cell r="F139" t="str">
            <v>單價分析</v>
          </cell>
        </row>
        <row r="140">
          <cell r="A140" t="str">
            <v>a148</v>
          </cell>
          <cell r="B140" t="str">
            <v xml:space="preserve"> 打拔鋼鈑樁</v>
          </cell>
          <cell r="C140" t="str">
            <v/>
          </cell>
          <cell r="D140" t="str">
            <v>片</v>
          </cell>
          <cell r="E140">
            <v>2195</v>
          </cell>
          <cell r="F140" t="str">
            <v>單價分析</v>
          </cell>
        </row>
        <row r="141">
          <cell r="A141" t="str">
            <v>a153</v>
          </cell>
          <cell r="B141" t="str">
            <v xml:space="preserve"> 打拔鋼軌樁(37kg/m,長10m@0.6m)</v>
          </cell>
          <cell r="C141" t="str">
            <v/>
          </cell>
          <cell r="D141" t="str">
            <v>30m</v>
          </cell>
          <cell r="E141">
            <v>52436</v>
          </cell>
          <cell r="F141" t="str">
            <v>單價分析</v>
          </cell>
        </row>
        <row r="142">
          <cell r="A142" t="str">
            <v>a154</v>
          </cell>
          <cell r="B142" t="str">
            <v xml:space="preserve"> 打鋼軌樁</v>
          </cell>
          <cell r="C142" t="str">
            <v/>
          </cell>
          <cell r="D142" t="str">
            <v>支</v>
          </cell>
          <cell r="E142">
            <v>82.6</v>
          </cell>
          <cell r="F142" t="str">
            <v>單價分析</v>
          </cell>
        </row>
        <row r="143">
          <cell r="A143" t="str">
            <v>a172</v>
          </cell>
          <cell r="B143" t="str">
            <v xml:space="preserve"> 砌  磚 (B)</v>
          </cell>
          <cell r="C143" t="str">
            <v/>
          </cell>
          <cell r="D143" t="str">
            <v></v>
          </cell>
          <cell r="E143">
            <v>162.5</v>
          </cell>
          <cell r="F143" t="str">
            <v>單價分析</v>
          </cell>
        </row>
        <row r="144">
          <cell r="A144" t="str">
            <v>a175</v>
          </cell>
          <cell r="B144" t="str">
            <v xml:space="preserve"> 斬 石 子</v>
          </cell>
          <cell r="C144" t="str">
            <v/>
          </cell>
          <cell r="D144" t="str">
            <v></v>
          </cell>
          <cell r="E144">
            <v>596.4</v>
          </cell>
          <cell r="F144" t="str">
            <v>單價分析</v>
          </cell>
        </row>
        <row r="145">
          <cell r="A145" t="str">
            <v>a176</v>
          </cell>
          <cell r="B145" t="str">
            <v xml:space="preserve"> 洗 石 子</v>
          </cell>
          <cell r="C145" t="str">
            <v/>
          </cell>
          <cell r="D145" t="str">
            <v></v>
          </cell>
          <cell r="E145">
            <v>293.20000000000005</v>
          </cell>
          <cell r="F145" t="str">
            <v>單價分析</v>
          </cell>
        </row>
        <row r="146">
          <cell r="A146" t="str">
            <v>a177</v>
          </cell>
          <cell r="B146" t="str">
            <v xml:space="preserve"> 磨 石 子</v>
          </cell>
          <cell r="C146" t="str">
            <v/>
          </cell>
          <cell r="D146" t="str">
            <v></v>
          </cell>
          <cell r="E146">
            <v>495.6</v>
          </cell>
          <cell r="F146" t="str">
            <v>單價分析</v>
          </cell>
        </row>
        <row r="147">
          <cell r="A147" t="str">
            <v>a178</v>
          </cell>
          <cell r="B147" t="str">
            <v xml:space="preserve"> 貼馬賽克</v>
          </cell>
          <cell r="C147" t="str">
            <v/>
          </cell>
          <cell r="D147" t="str">
            <v></v>
          </cell>
          <cell r="E147">
            <v>333</v>
          </cell>
          <cell r="F147" t="str">
            <v>單價分析</v>
          </cell>
        </row>
        <row r="148">
          <cell r="A148" t="str">
            <v>a179</v>
          </cell>
          <cell r="B148" t="str">
            <v xml:space="preserve"> 貼 磁 磚</v>
          </cell>
          <cell r="C148" t="str">
            <v/>
          </cell>
          <cell r="D148" t="str">
            <v></v>
          </cell>
          <cell r="E148">
            <v>293.59999999999997</v>
          </cell>
          <cell r="F148" t="str">
            <v>單價分析</v>
          </cell>
        </row>
        <row r="149">
          <cell r="A149" t="str">
            <v>a180</v>
          </cell>
          <cell r="B149" t="str">
            <v xml:space="preserve"> 貼 石 片</v>
          </cell>
          <cell r="C149" t="str">
            <v/>
          </cell>
          <cell r="D149" t="str">
            <v></v>
          </cell>
          <cell r="E149">
            <v>312.5</v>
          </cell>
          <cell r="F149" t="str">
            <v>單價分析</v>
          </cell>
        </row>
        <row r="150">
          <cell r="A150" t="str">
            <v>a181</v>
          </cell>
          <cell r="B150" t="str">
            <v xml:space="preserve"> 鋪高壓地磚</v>
          </cell>
          <cell r="C150" t="str">
            <v/>
          </cell>
          <cell r="D150" t="str">
            <v></v>
          </cell>
          <cell r="E150">
            <v>160.6</v>
          </cell>
          <cell r="F150" t="str">
            <v>單價分析</v>
          </cell>
        </row>
        <row r="151">
          <cell r="A151" t="str">
            <v>a183</v>
          </cell>
          <cell r="B151" t="str">
            <v xml:space="preserve"> 水 泥 漆(一底二度)</v>
          </cell>
          <cell r="C151" t="str">
            <v/>
          </cell>
          <cell r="D151" t="str">
            <v></v>
          </cell>
          <cell r="E151">
            <v>43.199999999999996</v>
          </cell>
          <cell r="F151" t="str">
            <v>單價分析</v>
          </cell>
        </row>
        <row r="152">
          <cell r="A152" t="str">
            <v>a184</v>
          </cell>
          <cell r="B152" t="str">
            <v xml:space="preserve"> 鋼料油漆(一底二度)</v>
          </cell>
          <cell r="C152" t="str">
            <v/>
          </cell>
          <cell r="D152" t="str">
            <v></v>
          </cell>
          <cell r="E152">
            <v>144</v>
          </cell>
          <cell r="F152" t="str">
            <v>單價分析</v>
          </cell>
        </row>
        <row r="153">
          <cell r="A153" t="str">
            <v>a185</v>
          </cell>
          <cell r="B153" t="str">
            <v xml:space="preserve"> 甲式橡膠伸縮縫</v>
          </cell>
          <cell r="C153" t="str">
            <v/>
          </cell>
          <cell r="D153" t="str">
            <v>m</v>
          </cell>
          <cell r="E153">
            <v>1500</v>
          </cell>
          <cell r="F153" t="str">
            <v>單價分析</v>
          </cell>
        </row>
        <row r="154">
          <cell r="A154" t="str">
            <v>a188</v>
          </cell>
          <cell r="B154" t="str">
            <v xml:space="preserve"> 甲式齒型伸縮縫</v>
          </cell>
          <cell r="C154" t="str">
            <v/>
          </cell>
          <cell r="D154" t="str">
            <v>m</v>
          </cell>
          <cell r="E154">
            <v>3125</v>
          </cell>
          <cell r="F154" t="str">
            <v>單價分析</v>
          </cell>
        </row>
        <row r="155">
          <cell r="A155" t="str">
            <v>a191</v>
          </cell>
          <cell r="B155" t="str">
            <v xml:space="preserve"> 單排工作架</v>
          </cell>
          <cell r="C155" t="str">
            <v/>
          </cell>
          <cell r="D155" t="str">
            <v></v>
          </cell>
          <cell r="E155">
            <v>14.4</v>
          </cell>
          <cell r="F155" t="str">
            <v>單價分析</v>
          </cell>
        </row>
        <row r="156">
          <cell r="A156" t="str">
            <v>a194</v>
          </cell>
          <cell r="B156" t="str">
            <v xml:space="preserve"> 乙種鐵絲蛇籠</v>
          </cell>
          <cell r="C156" t="str">
            <v/>
          </cell>
          <cell r="D156" t="str">
            <v>m</v>
          </cell>
          <cell r="E156">
            <v>125</v>
          </cell>
          <cell r="F156" t="str">
            <v>單價分析</v>
          </cell>
        </row>
        <row r="157">
          <cell r="A157" t="str">
            <v>a199</v>
          </cell>
          <cell r="B157" t="str">
            <v xml:space="preserve"> 箱型網籠內填塊石</v>
          </cell>
          <cell r="C157" t="str">
            <v/>
          </cell>
          <cell r="D157" t="str">
            <v></v>
          </cell>
          <cell r="E157">
            <v>159</v>
          </cell>
          <cell r="F157" t="str">
            <v>單價分析</v>
          </cell>
        </row>
        <row r="158">
          <cell r="A158" t="str">
            <v>a200</v>
          </cell>
          <cell r="B158" t="str">
            <v xml:space="preserve"> 坡面整理</v>
          </cell>
          <cell r="C158" t="str">
            <v/>
          </cell>
          <cell r="D158" t="str">
            <v>100</v>
          </cell>
          <cell r="E158">
            <v>795</v>
          </cell>
          <cell r="F158" t="str">
            <v>單價分析</v>
          </cell>
        </row>
        <row r="159">
          <cell r="A159" t="str">
            <v>a203</v>
          </cell>
          <cell r="B159" t="str">
            <v xml:space="preserve"> 邊坡噴植</v>
          </cell>
          <cell r="C159" t="str">
            <v/>
          </cell>
          <cell r="D159" t="str">
            <v></v>
          </cell>
          <cell r="E159">
            <v>11.129999999999999</v>
          </cell>
          <cell r="F159" t="str">
            <v>單價分析</v>
          </cell>
        </row>
        <row r="160">
          <cell r="A160" t="str">
            <v>a204</v>
          </cell>
          <cell r="B160" t="str">
            <v xml:space="preserve"> 客  土</v>
          </cell>
          <cell r="C160" t="str">
            <v/>
          </cell>
          <cell r="D160" t="str">
            <v></v>
          </cell>
          <cell r="E160">
            <v>21.2</v>
          </cell>
          <cell r="F160" t="str">
            <v>單價分析</v>
          </cell>
        </row>
        <row r="161">
          <cell r="A161" t="str">
            <v>a206</v>
          </cell>
          <cell r="B161" t="str">
            <v xml:space="preserve"> 植生帶鋪植</v>
          </cell>
          <cell r="C161" t="str">
            <v/>
          </cell>
          <cell r="D161" t="str">
            <v></v>
          </cell>
          <cell r="E161">
            <v>14.01</v>
          </cell>
          <cell r="F161" t="str">
            <v>單價分析</v>
          </cell>
        </row>
        <row r="162">
          <cell r="A162" t="str">
            <v>a207</v>
          </cell>
          <cell r="B162" t="str">
            <v xml:space="preserve"> 打樁編柵</v>
          </cell>
          <cell r="C162" t="str">
            <v/>
          </cell>
          <cell r="D162" t="str">
            <v>m</v>
          </cell>
          <cell r="E162">
            <v>106</v>
          </cell>
          <cell r="F162" t="str">
            <v>單價分析</v>
          </cell>
        </row>
        <row r="163">
          <cell r="A163" t="str">
            <v>a208</v>
          </cell>
          <cell r="B163" t="str">
            <v xml:space="preserve"> 稻草蓆敷蓋</v>
          </cell>
          <cell r="C163" t="str">
            <v/>
          </cell>
          <cell r="D163" t="str">
            <v></v>
          </cell>
          <cell r="E163">
            <v>1.325</v>
          </cell>
          <cell r="F163" t="str">
            <v>單價分析</v>
          </cell>
        </row>
        <row r="164">
          <cell r="A164" t="str">
            <v>a209</v>
          </cell>
          <cell r="B164" t="str">
            <v xml:space="preserve"> 地被植物栽植</v>
          </cell>
          <cell r="C164" t="str">
            <v/>
          </cell>
          <cell r="D164" t="str">
            <v></v>
          </cell>
          <cell r="E164">
            <v>26.279999999999998</v>
          </cell>
          <cell r="F164" t="str">
            <v>單價分析</v>
          </cell>
        </row>
        <row r="165">
          <cell r="A165" t="str">
            <v>a210</v>
          </cell>
          <cell r="B165" t="str">
            <v xml:space="preserve"> 地被植物養護費</v>
          </cell>
          <cell r="C165" t="str">
            <v/>
          </cell>
          <cell r="D165" t="str">
            <v></v>
          </cell>
          <cell r="E165">
            <v>5.7240000000000002</v>
          </cell>
          <cell r="F165" t="str">
            <v>單價分析</v>
          </cell>
        </row>
        <row r="166">
          <cell r="A166" t="str">
            <v>a211</v>
          </cell>
          <cell r="B166" t="str">
            <v xml:space="preserve"> 草花栽植</v>
          </cell>
          <cell r="C166" t="str">
            <v/>
          </cell>
          <cell r="D166" t="str">
            <v>株</v>
          </cell>
          <cell r="E166">
            <v>2.6059999999999999</v>
          </cell>
          <cell r="F166" t="str">
            <v>單價分析</v>
          </cell>
        </row>
        <row r="167">
          <cell r="A167" t="str">
            <v>a212</v>
          </cell>
          <cell r="B167" t="str">
            <v xml:space="preserve"> 草花栽植養護費</v>
          </cell>
          <cell r="C167" t="str">
            <v/>
          </cell>
          <cell r="D167" t="str">
            <v>株</v>
          </cell>
          <cell r="E167">
            <v>0.58300000000000007</v>
          </cell>
          <cell r="F167" t="str">
            <v>單價分析</v>
          </cell>
        </row>
        <row r="168">
          <cell r="A168" t="str">
            <v>a213</v>
          </cell>
          <cell r="B168" t="str">
            <v xml:space="preserve"> 灌木種植</v>
          </cell>
          <cell r="C168" t="str">
            <v/>
          </cell>
          <cell r="D168" t="str">
            <v>株</v>
          </cell>
          <cell r="E168">
            <v>20.45</v>
          </cell>
          <cell r="F168" t="str">
            <v>單價分析</v>
          </cell>
        </row>
        <row r="169">
          <cell r="A169" t="str">
            <v>a214</v>
          </cell>
          <cell r="B169" t="str">
            <v xml:space="preserve"> 灌木養護費</v>
          </cell>
          <cell r="C169" t="str">
            <v/>
          </cell>
          <cell r="D169" t="str">
            <v>株</v>
          </cell>
          <cell r="E169">
            <v>4.9599999999999991</v>
          </cell>
          <cell r="F169" t="str">
            <v>單價分析</v>
          </cell>
        </row>
        <row r="170">
          <cell r="A170" t="str">
            <v>a215</v>
          </cell>
          <cell r="B170" t="str">
            <v xml:space="preserve"> 喬木栽植</v>
          </cell>
          <cell r="C170" t="str">
            <v/>
          </cell>
          <cell r="D170" t="str">
            <v>株</v>
          </cell>
          <cell r="E170">
            <v>361.78999999999996</v>
          </cell>
          <cell r="F170" t="str">
            <v>單價分析</v>
          </cell>
        </row>
        <row r="171">
          <cell r="A171" t="str">
            <v>a214</v>
          </cell>
          <cell r="B171" t="str">
            <v xml:space="preserve"> 灌木養護費</v>
          </cell>
          <cell r="C171" t="str">
            <v/>
          </cell>
          <cell r="D171" t="str">
            <v>株</v>
          </cell>
          <cell r="E171">
            <v>4.9599999999999991</v>
          </cell>
          <cell r="F171" t="str">
            <v>單價分析</v>
          </cell>
        </row>
        <row r="172">
          <cell r="A172" t="str">
            <v>a215</v>
          </cell>
          <cell r="B172" t="str">
            <v xml:space="preserve"> 喬木栽植</v>
          </cell>
          <cell r="C172" t="str">
            <v/>
          </cell>
          <cell r="D172" t="str">
            <v>株</v>
          </cell>
          <cell r="E172">
            <v>361.78999999999996</v>
          </cell>
          <cell r="F172" t="str">
            <v>單價分析</v>
          </cell>
        </row>
        <row r="173">
          <cell r="A173" t="str">
            <v>a216</v>
          </cell>
          <cell r="B173" t="str">
            <v xml:space="preserve"> 喬木養護費</v>
          </cell>
          <cell r="C173" t="str">
            <v/>
          </cell>
          <cell r="D173" t="str">
            <v>株</v>
          </cell>
          <cell r="E173">
            <v>18.63</v>
          </cell>
          <cell r="F173" t="str">
            <v>單價分析</v>
          </cell>
        </row>
        <row r="174">
          <cell r="A174" t="str">
            <v>b0</v>
          </cell>
          <cell r="B174" t="str">
            <v>自 設 分 析 表</v>
          </cell>
        </row>
        <row r="175">
          <cell r="A175" t="str">
            <v>b1</v>
          </cell>
          <cell r="B175" t="str">
            <v xml:space="preserve"> 鑽心體取樣費</v>
          </cell>
          <cell r="C175" t="str">
            <v>一組三個</v>
          </cell>
          <cell r="D175" t="str">
            <v>組</v>
          </cell>
          <cell r="E175">
            <v>4000</v>
          </cell>
          <cell r="F175" t="str">
            <v>單價分析</v>
          </cell>
        </row>
        <row r="176">
          <cell r="A176" t="str">
            <v>b2</v>
          </cell>
          <cell r="B176" t="str">
            <v xml:space="preserve"> 營造綜合保險費</v>
          </cell>
          <cell r="C176" t="str">
            <v/>
          </cell>
          <cell r="D176" t="str">
            <v>式</v>
          </cell>
          <cell r="E176">
            <v>0</v>
          </cell>
          <cell r="F176" t="str">
            <v>單價分析</v>
          </cell>
        </row>
        <row r="177">
          <cell r="A177" t="str">
            <v>b3</v>
          </cell>
          <cell r="B177" t="str">
            <v xml:space="preserve"> 水泥路面伸縮縫</v>
          </cell>
          <cell r="C177" t="str">
            <v/>
          </cell>
          <cell r="D177" t="str">
            <v>處</v>
          </cell>
          <cell r="E177">
            <v>188.5</v>
          </cell>
          <cell r="F177" t="str">
            <v>單價分析</v>
          </cell>
        </row>
        <row r="178">
          <cell r="A178" t="str">
            <v>b4</v>
          </cell>
          <cell r="B178" t="str">
            <v xml:space="preserve"> 排  磚</v>
          </cell>
          <cell r="C178" t="str">
            <v/>
          </cell>
          <cell r="D178" t="str">
            <v></v>
          </cell>
          <cell r="E178">
            <v>100</v>
          </cell>
          <cell r="F178" t="str">
            <v>單價分析</v>
          </cell>
        </row>
        <row r="179">
          <cell r="A179" t="str">
            <v>b5</v>
          </cell>
          <cell r="B179" t="str">
            <v xml:space="preserve"> 鋪植草磚</v>
          </cell>
          <cell r="C179" t="str">
            <v/>
          </cell>
          <cell r="D179" t="str">
            <v></v>
          </cell>
          <cell r="E179">
            <v>276.5</v>
          </cell>
          <cell r="F179" t="str">
            <v>單價分析</v>
          </cell>
        </row>
        <row r="180">
          <cell r="A180" t="str">
            <v>b6</v>
          </cell>
          <cell r="B180" t="str">
            <v xml:space="preserve"> 砌B過火磚及斬毛</v>
          </cell>
          <cell r="C180" t="str">
            <v/>
          </cell>
          <cell r="D180" t="str">
            <v></v>
          </cell>
          <cell r="E180">
            <v>913.8</v>
          </cell>
          <cell r="F180" t="str">
            <v>單價分析</v>
          </cell>
        </row>
        <row r="181">
          <cell r="A181" t="str">
            <v>b7</v>
          </cell>
          <cell r="B181" t="str">
            <v xml:space="preserve"> 餘土處理</v>
          </cell>
          <cell r="C181" t="str">
            <v/>
          </cell>
          <cell r="D181" t="str">
            <v></v>
          </cell>
          <cell r="E181">
            <v>0</v>
          </cell>
          <cell r="F181" t="str">
            <v>單價分析</v>
          </cell>
        </row>
        <row r="182">
          <cell r="A182" t="str">
            <v>b8</v>
          </cell>
          <cell r="B182" t="str">
            <v xml:space="preserve"> 堤後回填</v>
          </cell>
          <cell r="C182" t="str">
            <v/>
          </cell>
          <cell r="D182" t="str">
            <v></v>
          </cell>
          <cell r="E182">
            <v>31.799999999999997</v>
          </cell>
          <cell r="F182" t="str">
            <v>單價分析</v>
          </cell>
        </row>
        <row r="183">
          <cell r="A183" t="str">
            <v>b9</v>
          </cell>
          <cell r="B183" t="str">
            <v xml:space="preserve"> 遠運填土</v>
          </cell>
          <cell r="C183" t="str">
            <v/>
          </cell>
          <cell r="D183" t="str">
            <v></v>
          </cell>
          <cell r="E183">
            <v>0</v>
          </cell>
          <cell r="F183" t="str">
            <v>單價分析</v>
          </cell>
        </row>
        <row r="184">
          <cell r="A184" t="str">
            <v>b10</v>
          </cell>
          <cell r="B184" t="str">
            <v xml:space="preserve"> 護  欄</v>
          </cell>
          <cell r="C184" t="str">
            <v/>
          </cell>
          <cell r="D184" t="str">
            <v>個</v>
          </cell>
          <cell r="E184">
            <v>0</v>
          </cell>
          <cell r="F184" t="str">
            <v>單價分析</v>
          </cell>
        </row>
        <row r="185">
          <cell r="A185" t="str">
            <v>b11</v>
          </cell>
          <cell r="B185" t="str">
            <v xml:space="preserve"> 鍍鋅鐵絲箱型石籠</v>
          </cell>
          <cell r="C185" t="str">
            <v/>
          </cell>
          <cell r="D185" t="str">
            <v>m</v>
          </cell>
          <cell r="E185">
            <v>159</v>
          </cell>
          <cell r="F185" t="str">
            <v>單價分析</v>
          </cell>
        </row>
        <row r="186">
          <cell r="A186" t="str">
            <v>b12</v>
          </cell>
          <cell r="B186" t="str">
            <v xml:space="preserve"> 不銹鋼踏步</v>
          </cell>
          <cell r="C186" t="str">
            <v/>
          </cell>
          <cell r="D186" t="str">
            <v>支</v>
          </cell>
          <cell r="E186">
            <v>0</v>
          </cell>
          <cell r="F186" t="str">
            <v>單價分析</v>
          </cell>
        </row>
        <row r="187">
          <cell r="A187" t="str">
            <v>b13</v>
          </cell>
          <cell r="B187" t="str">
            <v xml:space="preserve"> 7噸鼎形塊製作及吊放</v>
          </cell>
          <cell r="C187" t="str">
            <v/>
          </cell>
          <cell r="D187" t="str">
            <v>個</v>
          </cell>
          <cell r="E187">
            <v>3132.38</v>
          </cell>
          <cell r="F187" t="str">
            <v>單價分析</v>
          </cell>
        </row>
        <row r="188">
          <cell r="A188" t="str">
            <v>b14</v>
          </cell>
          <cell r="B188" t="str">
            <v xml:space="preserve"> 10噸鼎形塊製作</v>
          </cell>
          <cell r="C188" t="str">
            <v/>
          </cell>
          <cell r="D188" t="str">
            <v>個</v>
          </cell>
          <cell r="E188">
            <v>2528.4</v>
          </cell>
          <cell r="F188" t="str">
            <v>單價分析</v>
          </cell>
        </row>
        <row r="189">
          <cell r="A189" t="str">
            <v>b15</v>
          </cell>
          <cell r="B189" t="str">
            <v xml:space="preserve"> 採淨石子</v>
          </cell>
          <cell r="C189" t="str">
            <v/>
          </cell>
          <cell r="D189" t="str">
            <v></v>
          </cell>
          <cell r="E189">
            <v>577.70000000000005</v>
          </cell>
          <cell r="F189" t="str">
            <v>單價分析</v>
          </cell>
        </row>
        <row r="190">
          <cell r="A190" t="str">
            <v>b16</v>
          </cell>
          <cell r="B190" t="str">
            <v xml:space="preserve"> 採 塊 石(長徑約φ30cm)</v>
          </cell>
          <cell r="C190" t="str">
            <v/>
          </cell>
          <cell r="D190" t="str">
            <v></v>
          </cell>
          <cell r="E190">
            <v>0</v>
          </cell>
          <cell r="F190" t="str">
            <v>單價分析</v>
          </cell>
        </row>
        <row r="191">
          <cell r="A191" t="str">
            <v>b17</v>
          </cell>
          <cell r="B191" t="str">
            <v xml:space="preserve"> 採大塊石(長徑 &gt;50cm)</v>
          </cell>
          <cell r="C191" t="str">
            <v/>
          </cell>
          <cell r="D191" t="str">
            <v></v>
          </cell>
          <cell r="E191">
            <v>0</v>
          </cell>
          <cell r="F191" t="str">
            <v>單價分析</v>
          </cell>
        </row>
        <row r="192">
          <cell r="A192" t="str">
            <v>b18</v>
          </cell>
          <cell r="B192" t="str">
            <v xml:space="preserve"> 填 塊 石</v>
          </cell>
          <cell r="C192" t="str">
            <v/>
          </cell>
          <cell r="D192" t="str">
            <v></v>
          </cell>
          <cell r="E192">
            <v>0</v>
          </cell>
          <cell r="F192" t="str">
            <v>單價分析</v>
          </cell>
        </row>
        <row r="193">
          <cell r="A193" t="str">
            <v>b19</v>
          </cell>
          <cell r="B193" t="str">
            <v xml:space="preserve"> 崁大塊石</v>
          </cell>
          <cell r="C193" t="str">
            <v/>
          </cell>
          <cell r="D193" t="str">
            <v></v>
          </cell>
          <cell r="E193">
            <v>0</v>
          </cell>
          <cell r="F193" t="str">
            <v>單價分析</v>
          </cell>
        </row>
        <row r="194">
          <cell r="A194" t="str">
            <v>b20</v>
          </cell>
          <cell r="B194" t="str">
            <v>簡易基礎模板製作及裝拆</v>
          </cell>
          <cell r="C194" t="str">
            <v/>
          </cell>
          <cell r="D194" t="str">
            <v>㎡</v>
          </cell>
          <cell r="E194">
            <v>0</v>
          </cell>
          <cell r="F194" t="str">
            <v>單價分析</v>
          </cell>
        </row>
        <row r="195">
          <cell r="A195" t="str">
            <v>b21</v>
          </cell>
          <cell r="B195">
            <v>0</v>
          </cell>
          <cell r="C195" t="str">
            <v/>
          </cell>
          <cell r="D195">
            <v>0</v>
          </cell>
          <cell r="E195">
            <v>0</v>
          </cell>
          <cell r="F195" t="str">
            <v>單價分析</v>
          </cell>
        </row>
        <row r="196">
          <cell r="A196" t="str">
            <v>b22</v>
          </cell>
          <cell r="B196">
            <v>0</v>
          </cell>
          <cell r="C196" t="str">
            <v/>
          </cell>
          <cell r="D196">
            <v>0</v>
          </cell>
          <cell r="E196">
            <v>0</v>
          </cell>
          <cell r="F196" t="str">
            <v>單價分析</v>
          </cell>
        </row>
        <row r="197">
          <cell r="A197" t="str">
            <v>b23</v>
          </cell>
          <cell r="B197">
            <v>0</v>
          </cell>
          <cell r="C197" t="str">
            <v/>
          </cell>
          <cell r="D197">
            <v>0</v>
          </cell>
          <cell r="E197">
            <v>0</v>
          </cell>
          <cell r="F197" t="str">
            <v>單價分析</v>
          </cell>
        </row>
        <row r="198">
          <cell r="A198" t="str">
            <v>b24</v>
          </cell>
          <cell r="B198">
            <v>0</v>
          </cell>
          <cell r="C198" t="str">
            <v/>
          </cell>
          <cell r="D198">
            <v>0</v>
          </cell>
          <cell r="E198">
            <v>0</v>
          </cell>
          <cell r="F198" t="str">
            <v>單價分析</v>
          </cell>
        </row>
        <row r="199">
          <cell r="A199" t="str">
            <v>b25</v>
          </cell>
          <cell r="B199">
            <v>0</v>
          </cell>
          <cell r="C199" t="str">
            <v/>
          </cell>
          <cell r="D199">
            <v>0</v>
          </cell>
          <cell r="E199">
            <v>0</v>
          </cell>
          <cell r="F199" t="str">
            <v>單價分析</v>
          </cell>
        </row>
        <row r="200">
          <cell r="A200" t="str">
            <v>b26</v>
          </cell>
          <cell r="B200">
            <v>0</v>
          </cell>
          <cell r="C200" t="str">
            <v/>
          </cell>
          <cell r="D200">
            <v>0</v>
          </cell>
          <cell r="E200">
            <v>0</v>
          </cell>
          <cell r="F200" t="str">
            <v>單價分析</v>
          </cell>
        </row>
        <row r="201">
          <cell r="A201" t="str">
            <v>b27</v>
          </cell>
          <cell r="B201">
            <v>0</v>
          </cell>
          <cell r="C201" t="str">
            <v/>
          </cell>
          <cell r="D201">
            <v>0</v>
          </cell>
          <cell r="E201">
            <v>0</v>
          </cell>
          <cell r="F201" t="str">
            <v>單價分析</v>
          </cell>
        </row>
        <row r="202">
          <cell r="A202" t="str">
            <v>b28</v>
          </cell>
          <cell r="B202">
            <v>0</v>
          </cell>
          <cell r="C202" t="str">
            <v/>
          </cell>
          <cell r="D202">
            <v>0</v>
          </cell>
          <cell r="E202">
            <v>0</v>
          </cell>
          <cell r="F202" t="str">
            <v>單價分析</v>
          </cell>
        </row>
        <row r="203">
          <cell r="A203" t="str">
            <v>b29</v>
          </cell>
          <cell r="B203">
            <v>0</v>
          </cell>
          <cell r="C203" t="str">
            <v/>
          </cell>
          <cell r="D203">
            <v>0</v>
          </cell>
          <cell r="E203">
            <v>0</v>
          </cell>
          <cell r="F203" t="str">
            <v>單價分析</v>
          </cell>
        </row>
        <row r="204">
          <cell r="A204">
            <v>0</v>
          </cell>
          <cell r="B204">
            <v>0</v>
          </cell>
          <cell r="C204" t="str">
            <v/>
          </cell>
          <cell r="D204">
            <v>0</v>
          </cell>
          <cell r="E204">
            <v>0</v>
          </cell>
          <cell r="F204" t="str">
            <v>單價分析</v>
          </cell>
        </row>
        <row r="205">
          <cell r="A205">
            <v>101</v>
          </cell>
          <cell r="B205" t="str">
            <v xml:space="preserve"> 天然紋石椅</v>
          </cell>
          <cell r="C205" t="str">
            <v>L60cm,H40cm</v>
          </cell>
          <cell r="D205" t="str">
            <v>只</v>
          </cell>
          <cell r="E205">
            <v>1200</v>
          </cell>
        </row>
        <row r="206">
          <cell r="A206">
            <v>102</v>
          </cell>
          <cell r="B206" t="str">
            <v xml:space="preserve"> 天然紋石桌椅</v>
          </cell>
          <cell r="C206" t="str">
            <v>一桌五椅</v>
          </cell>
          <cell r="D206" t="str">
            <v>組</v>
          </cell>
          <cell r="E206">
            <v>24000</v>
          </cell>
        </row>
        <row r="207">
          <cell r="A207">
            <v>103</v>
          </cell>
          <cell r="B207" t="str">
            <v xml:space="preserve"> 大理石竣工標示牌</v>
          </cell>
          <cell r="C207" t="str">
            <v>60x50x2cm</v>
          </cell>
          <cell r="D207" t="str">
            <v>塊</v>
          </cell>
          <cell r="E207">
            <v>6000</v>
          </cell>
        </row>
        <row r="208">
          <cell r="A208">
            <v>104</v>
          </cell>
          <cell r="B208" t="str">
            <v xml:space="preserve"> 臨時施工告示牌</v>
          </cell>
          <cell r="D208" t="str">
            <v>塊</v>
          </cell>
          <cell r="E208">
            <v>4000</v>
          </cell>
        </row>
        <row r="209">
          <cell r="A209">
            <v>105</v>
          </cell>
          <cell r="B209" t="str">
            <v xml:space="preserve"> 鋼版加工及組立</v>
          </cell>
          <cell r="D209" t="str">
            <v>kg</v>
          </cell>
          <cell r="E209">
            <v>15</v>
          </cell>
        </row>
        <row r="210">
          <cell r="A210">
            <v>106</v>
          </cell>
          <cell r="B210" t="str">
            <v xml:space="preserve"> 鋼版、鋼筋焊接及按裝</v>
          </cell>
          <cell r="D210" t="str">
            <v>式</v>
          </cell>
          <cell r="E210">
            <v>10000</v>
          </cell>
        </row>
        <row r="211">
          <cell r="A211">
            <v>107</v>
          </cell>
          <cell r="B211" t="str">
            <v xml:space="preserve"> 鋼筋運費</v>
          </cell>
          <cell r="D211" t="str">
            <v>噸</v>
          </cell>
        </row>
        <row r="212">
          <cell r="A212">
            <v>108</v>
          </cell>
          <cell r="B212" t="str">
            <v xml:space="preserve"> 水泥運費</v>
          </cell>
          <cell r="D212" t="str">
            <v>包</v>
          </cell>
        </row>
        <row r="213">
          <cell r="A213">
            <v>109</v>
          </cell>
          <cell r="B213" t="str">
            <v xml:space="preserve"> 鼎形塊鐵模運費</v>
          </cell>
          <cell r="D213" t="str">
            <v>式</v>
          </cell>
          <cell r="E213">
            <v>10000</v>
          </cell>
        </row>
        <row r="214">
          <cell r="A214">
            <v>110</v>
          </cell>
          <cell r="B214" t="str">
            <v xml:space="preserve"> 模板小運搬</v>
          </cell>
          <cell r="D214" t="str">
            <v>㎡</v>
          </cell>
          <cell r="E214">
            <v>15</v>
          </cell>
        </row>
        <row r="215">
          <cell r="A215">
            <v>111</v>
          </cell>
          <cell r="B215" t="str">
            <v xml:space="preserve"> 放 樣 費</v>
          </cell>
          <cell r="D215" t="str">
            <v>式</v>
          </cell>
          <cell r="E215">
            <v>3000</v>
          </cell>
        </row>
        <row r="216">
          <cell r="A216">
            <v>112</v>
          </cell>
          <cell r="B216" t="str">
            <v xml:space="preserve"> 伸縮縫處理</v>
          </cell>
          <cell r="D216" t="str">
            <v>式</v>
          </cell>
          <cell r="E216">
            <v>1500</v>
          </cell>
        </row>
        <row r="217">
          <cell r="A217">
            <v>113</v>
          </cell>
          <cell r="B217" t="str">
            <v xml:space="preserve"> 護欄白水泥漆粉飾</v>
          </cell>
          <cell r="C217" t="str">
            <v>一底二度</v>
          </cell>
          <cell r="D217" t="str">
            <v>式</v>
          </cell>
          <cell r="E217">
            <v>3000</v>
          </cell>
        </row>
        <row r="218">
          <cell r="A218">
            <v>114</v>
          </cell>
          <cell r="B218" t="str">
            <v xml:space="preserve"> 工棚及倉租費</v>
          </cell>
          <cell r="D218" t="str">
            <v>式</v>
          </cell>
          <cell r="E218">
            <v>20000</v>
          </cell>
        </row>
        <row r="219">
          <cell r="A219">
            <v>115</v>
          </cell>
          <cell r="B219" t="str">
            <v>混凝土穿透檢驗費</v>
          </cell>
          <cell r="D219" t="str">
            <v>處</v>
          </cell>
          <cell r="E219">
            <v>2000</v>
          </cell>
        </row>
        <row r="220">
          <cell r="A220">
            <v>116</v>
          </cell>
          <cell r="B220" t="str">
            <v xml:space="preserve"> 施工便道與復舊費</v>
          </cell>
          <cell r="D220" t="str">
            <v>式</v>
          </cell>
          <cell r="E220">
            <v>12000</v>
          </cell>
        </row>
        <row r="221">
          <cell r="A221">
            <v>117</v>
          </cell>
          <cell r="B221" t="str">
            <v xml:space="preserve"> 擋排水費</v>
          </cell>
          <cell r="D221" t="str">
            <v>式</v>
          </cell>
          <cell r="E221">
            <v>10000</v>
          </cell>
        </row>
        <row r="222">
          <cell r="A222">
            <v>118</v>
          </cell>
          <cell r="B222" t="str">
            <v xml:space="preserve"> 機械搬運費</v>
          </cell>
          <cell r="D222" t="str">
            <v>式</v>
          </cell>
          <cell r="E222">
            <v>12000</v>
          </cell>
        </row>
        <row r="223">
          <cell r="A223">
            <v>119</v>
          </cell>
          <cell r="B223" t="str">
            <v xml:space="preserve"> 垃圾清理費</v>
          </cell>
          <cell r="D223" t="str">
            <v>式</v>
          </cell>
          <cell r="E223">
            <v>15000</v>
          </cell>
        </row>
        <row r="224">
          <cell r="A224">
            <v>120</v>
          </cell>
          <cell r="B224" t="str">
            <v xml:space="preserve"> 雜木砍除清理費</v>
          </cell>
          <cell r="D224" t="str">
            <v>式</v>
          </cell>
          <cell r="E224">
            <v>15000</v>
          </cell>
        </row>
        <row r="225">
          <cell r="A225">
            <v>121</v>
          </cell>
          <cell r="B225" t="str">
            <v xml:space="preserve"> 舊有混凝土打除</v>
          </cell>
          <cell r="D225" t="str">
            <v>式</v>
          </cell>
          <cell r="E225">
            <v>10000</v>
          </cell>
        </row>
        <row r="226">
          <cell r="A226">
            <v>122</v>
          </cell>
          <cell r="B226" t="str">
            <v xml:space="preserve"> 整地費(含雜木清除、夯實)</v>
          </cell>
          <cell r="D226" t="str">
            <v>式</v>
          </cell>
          <cell r="E226">
            <v>10000</v>
          </cell>
        </row>
        <row r="227">
          <cell r="A227">
            <v>123</v>
          </cell>
          <cell r="B227" t="str">
            <v xml:space="preserve"> 百歲磚收邊</v>
          </cell>
          <cell r="D227" t="str">
            <v>式</v>
          </cell>
          <cell r="E227">
            <v>3000</v>
          </cell>
        </row>
        <row r="228">
          <cell r="A228">
            <v>124</v>
          </cell>
          <cell r="B228" t="str">
            <v xml:space="preserve"> 草花種植及維護</v>
          </cell>
          <cell r="D228" t="str">
            <v>式</v>
          </cell>
          <cell r="E228">
            <v>8000</v>
          </cell>
        </row>
        <row r="229">
          <cell r="A229">
            <v>125</v>
          </cell>
          <cell r="B229" t="str">
            <v xml:space="preserve"> 草花及草皮運費</v>
          </cell>
          <cell r="D229" t="str">
            <v>式</v>
          </cell>
          <cell r="E229">
            <v>10000</v>
          </cell>
        </row>
        <row r="230">
          <cell r="A230">
            <v>126</v>
          </cell>
          <cell r="B230" t="str">
            <v xml:space="preserve"> 植草磚取樣試驗費</v>
          </cell>
          <cell r="C230" t="str">
            <v>一組三個</v>
          </cell>
          <cell r="D230" t="str">
            <v>組</v>
          </cell>
          <cell r="E230">
            <v>4000</v>
          </cell>
        </row>
        <row r="231">
          <cell r="A231">
            <v>127</v>
          </cell>
          <cell r="B231" t="str">
            <v xml:space="preserve"> 水泥路面厚度鑽取費</v>
          </cell>
          <cell r="C231" t="str">
            <v>一組三個</v>
          </cell>
          <cell r="D231" t="str">
            <v>組</v>
          </cell>
          <cell r="E231">
            <v>2400</v>
          </cell>
        </row>
        <row r="232">
          <cell r="A232">
            <v>128</v>
          </cell>
          <cell r="B232" t="str">
            <v xml:space="preserve"> 氯離子含量檢測費</v>
          </cell>
          <cell r="D232" t="str">
            <v>式</v>
          </cell>
          <cell r="E232">
            <v>3000</v>
          </cell>
        </row>
        <row r="233">
          <cell r="A233">
            <v>129</v>
          </cell>
          <cell r="B233" t="str">
            <v xml:space="preserve"> 包商稅雜</v>
          </cell>
          <cell r="C233" t="str">
            <v>約12%</v>
          </cell>
          <cell r="D233" t="str">
            <v>式</v>
          </cell>
        </row>
        <row r="234">
          <cell r="A234">
            <v>130</v>
          </cell>
          <cell r="B234" t="str">
            <v xml:space="preserve"> 包商稅雜</v>
          </cell>
          <cell r="C234" t="str">
            <v/>
          </cell>
          <cell r="D234" t="str">
            <v>式</v>
          </cell>
        </row>
        <row r="235">
          <cell r="A235">
            <v>0</v>
          </cell>
        </row>
        <row r="236">
          <cell r="A236" t="str">
            <v>m0</v>
          </cell>
          <cell r="B236" t="str">
            <v>材  料  費  選 項</v>
          </cell>
        </row>
        <row r="237">
          <cell r="A237" t="str">
            <v>m1</v>
          </cell>
          <cell r="B237" t="str">
            <v xml:space="preserve"> 水  泥</v>
          </cell>
          <cell r="C237" t="str">
            <v>50kg/包</v>
          </cell>
          <cell r="D237" t="str">
            <v>包</v>
          </cell>
          <cell r="E237">
            <v>135</v>
          </cell>
        </row>
        <row r="238">
          <cell r="A238" t="str">
            <v>m2</v>
          </cell>
          <cell r="B238" t="str">
            <v xml:space="preserve"> 預拌140kg/c㎡混凝土</v>
          </cell>
          <cell r="C238" t="str">
            <v>工地交貨</v>
          </cell>
          <cell r="D238" t="str">
            <v></v>
          </cell>
          <cell r="E238">
            <v>1350</v>
          </cell>
        </row>
        <row r="239">
          <cell r="A239" t="str">
            <v>m3</v>
          </cell>
          <cell r="B239" t="str">
            <v xml:space="preserve"> 預拌175kg/c㎡混凝土</v>
          </cell>
          <cell r="C239" t="str">
            <v>工地交貨</v>
          </cell>
          <cell r="D239" t="str">
            <v></v>
          </cell>
          <cell r="E239">
            <v>1450</v>
          </cell>
        </row>
        <row r="240">
          <cell r="A240" t="str">
            <v>m4</v>
          </cell>
          <cell r="B240" t="str">
            <v xml:space="preserve"> 預拌210kg/c㎡混凝土</v>
          </cell>
          <cell r="C240" t="str">
            <v>工地交貨</v>
          </cell>
          <cell r="D240" t="str">
            <v></v>
          </cell>
          <cell r="E240">
            <v>1550</v>
          </cell>
        </row>
        <row r="241">
          <cell r="A241" t="str">
            <v>m5</v>
          </cell>
          <cell r="B241" t="str">
            <v xml:space="preserve"> 預拌350kg/c㎡混凝土</v>
          </cell>
          <cell r="C241" t="str">
            <v>工地交貨</v>
          </cell>
          <cell r="D241" t="str">
            <v></v>
          </cell>
          <cell r="E241">
            <v>1900</v>
          </cell>
        </row>
        <row r="242">
          <cell r="A242" t="str">
            <v>m6</v>
          </cell>
          <cell r="B242" t="str">
            <v xml:space="preserve"> 鋼  筋</v>
          </cell>
          <cell r="C242" t="str">
            <v>(含運費)</v>
          </cell>
          <cell r="D242" t="str">
            <v>噸</v>
          </cell>
          <cell r="E242">
            <v>10500</v>
          </cell>
        </row>
        <row r="243">
          <cell r="A243" t="str">
            <v>m7</v>
          </cell>
          <cell r="B243" t="str">
            <v xml:space="preserve"> 鋼  版</v>
          </cell>
          <cell r="C243" t="str">
            <v>(含運費)</v>
          </cell>
          <cell r="D243" t="str">
            <v>kg</v>
          </cell>
          <cell r="E243">
            <v>18</v>
          </cell>
        </row>
        <row r="244">
          <cell r="A244" t="str">
            <v>m8</v>
          </cell>
          <cell r="B244" t="str">
            <v xml:space="preserve"> 鋼  軌</v>
          </cell>
          <cell r="C244" t="str">
            <v>(含運費)</v>
          </cell>
          <cell r="D244" t="str">
            <v>kg</v>
          </cell>
          <cell r="E244">
            <v>22</v>
          </cell>
        </row>
        <row r="245">
          <cell r="A245" t="str">
            <v>m9</v>
          </cell>
          <cell r="B245" t="str">
            <v>φ25鋼索</v>
          </cell>
          <cell r="C245" t="str">
            <v>(含運費)</v>
          </cell>
          <cell r="D245" t="str">
            <v>kg</v>
          </cell>
          <cell r="E245">
            <v>45</v>
          </cell>
        </row>
        <row r="246">
          <cell r="A246" t="str">
            <v>m10</v>
          </cell>
          <cell r="B246" t="str">
            <v>φ25鋼索夾</v>
          </cell>
          <cell r="C246" t="str">
            <v>(含運費)</v>
          </cell>
          <cell r="D246" t="str">
            <v>個</v>
          </cell>
          <cell r="E246">
            <v>35</v>
          </cell>
        </row>
        <row r="247">
          <cell r="A247" t="str">
            <v>m11</v>
          </cell>
          <cell r="B247" t="str">
            <v>φ19mm不銹鋼條</v>
          </cell>
          <cell r="C247" t="str">
            <v>(含運費)</v>
          </cell>
          <cell r="D247" t="str">
            <v>kg</v>
          </cell>
          <cell r="E247">
            <v>120</v>
          </cell>
        </row>
        <row r="248">
          <cell r="A248" t="str">
            <v>m12</v>
          </cell>
          <cell r="B248" t="str">
            <v xml:space="preserve"> 鍍鋅鐵絲箱型石籠網</v>
          </cell>
          <cell r="C248" t="str">
            <v>(含運費)</v>
          </cell>
          <cell r="D248" t="str">
            <v></v>
          </cell>
          <cell r="E248">
            <v>190</v>
          </cell>
        </row>
        <row r="249">
          <cell r="A249" t="str">
            <v>m13</v>
          </cell>
          <cell r="B249" t="str">
            <v>φ3"PVC洩水管</v>
          </cell>
          <cell r="C249" t="str">
            <v>(含運費)</v>
          </cell>
          <cell r="D249" t="str">
            <v>支</v>
          </cell>
          <cell r="E249">
            <v>160</v>
          </cell>
        </row>
        <row r="250">
          <cell r="A250" t="str">
            <v>m14</v>
          </cell>
          <cell r="B250" t="str">
            <v>φ3"PVC洩水管</v>
          </cell>
          <cell r="C250" t="str">
            <v>(含運費)</v>
          </cell>
          <cell r="D250" t="str">
            <v>m</v>
          </cell>
          <cell r="E250">
            <v>40</v>
          </cell>
        </row>
        <row r="251">
          <cell r="A251" t="str">
            <v>m15</v>
          </cell>
          <cell r="B251" t="str">
            <v>φ30cm HP(B型)管</v>
          </cell>
          <cell r="C251" t="str">
            <v>(含運費)</v>
          </cell>
          <cell r="D251" t="str">
            <v>支</v>
          </cell>
          <cell r="E251">
            <v>1540</v>
          </cell>
        </row>
        <row r="252">
          <cell r="A252" t="str">
            <v>m16</v>
          </cell>
          <cell r="B252" t="str">
            <v>φ45cm HP(B型)管</v>
          </cell>
          <cell r="C252" t="str">
            <v>(含運費)</v>
          </cell>
          <cell r="D252" t="str">
            <v>支</v>
          </cell>
          <cell r="E252">
            <v>2200</v>
          </cell>
        </row>
        <row r="253">
          <cell r="A253" t="str">
            <v>m17</v>
          </cell>
          <cell r="B253" t="str">
            <v>φ60cm HP(B型)管</v>
          </cell>
          <cell r="C253" t="str">
            <v>(含運費)</v>
          </cell>
          <cell r="D253" t="str">
            <v>支</v>
          </cell>
          <cell r="E253">
            <v>3360</v>
          </cell>
        </row>
        <row r="254">
          <cell r="A254" t="str">
            <v>m18</v>
          </cell>
          <cell r="B254" t="str">
            <v>φ80cm HP(B型)管</v>
          </cell>
          <cell r="C254" t="str">
            <v>(含運費)</v>
          </cell>
          <cell r="D254" t="str">
            <v>支</v>
          </cell>
          <cell r="E254">
            <v>5280</v>
          </cell>
        </row>
        <row r="255">
          <cell r="A255" t="str">
            <v>m19</v>
          </cell>
          <cell r="B255" t="str">
            <v>φ100cm HP(B型)管</v>
          </cell>
          <cell r="C255" t="str">
            <v>(含運費)</v>
          </cell>
          <cell r="D255" t="str">
            <v>支</v>
          </cell>
          <cell r="E255">
            <v>7440</v>
          </cell>
        </row>
        <row r="256">
          <cell r="A256" t="str">
            <v>m20</v>
          </cell>
          <cell r="B256" t="str">
            <v>φ120cm HP(B型)管</v>
          </cell>
          <cell r="C256" t="str">
            <v>(含運費)</v>
          </cell>
          <cell r="D256" t="str">
            <v>支</v>
          </cell>
          <cell r="E256">
            <v>10080</v>
          </cell>
        </row>
        <row r="257">
          <cell r="A257" t="str">
            <v>m21</v>
          </cell>
          <cell r="B257" t="str">
            <v>φ150cm HP(B型)管</v>
          </cell>
          <cell r="C257" t="str">
            <v>(含運費)</v>
          </cell>
          <cell r="D257" t="str">
            <v>支</v>
          </cell>
          <cell r="E257">
            <v>16080</v>
          </cell>
        </row>
        <row r="258">
          <cell r="A258" t="str">
            <v>m22</v>
          </cell>
          <cell r="B258" t="str">
            <v xml:space="preserve"> 瀝青混凝土</v>
          </cell>
          <cell r="C258" t="str">
            <v>工地交貨</v>
          </cell>
          <cell r="D258" t="str">
            <v>kg</v>
          </cell>
          <cell r="E258">
            <v>10</v>
          </cell>
        </row>
        <row r="259">
          <cell r="A259" t="str">
            <v>m23</v>
          </cell>
          <cell r="B259" t="str">
            <v>φ30cm AP管</v>
          </cell>
          <cell r="C259" t="str">
            <v>(含運費)</v>
          </cell>
          <cell r="D259" t="str">
            <v>支</v>
          </cell>
          <cell r="E259">
            <v>800</v>
          </cell>
        </row>
        <row r="260">
          <cell r="A260" t="str">
            <v>m24</v>
          </cell>
          <cell r="B260" t="str">
            <v>φ45cm AP管</v>
          </cell>
          <cell r="C260" t="str">
            <v>(含運費)</v>
          </cell>
          <cell r="D260" t="str">
            <v>支</v>
          </cell>
          <cell r="E260">
            <v>1250</v>
          </cell>
        </row>
        <row r="261">
          <cell r="A261" t="str">
            <v>m25</v>
          </cell>
          <cell r="B261" t="str">
            <v>φ60cm AP管</v>
          </cell>
          <cell r="C261" t="str">
            <v>(含運費)</v>
          </cell>
          <cell r="D261" t="str">
            <v>支</v>
          </cell>
          <cell r="E261">
            <v>2070</v>
          </cell>
        </row>
        <row r="262">
          <cell r="A262" t="str">
            <v>m26</v>
          </cell>
          <cell r="B262" t="str">
            <v>φ80cm AP管</v>
          </cell>
          <cell r="C262" t="str">
            <v>(含運費)</v>
          </cell>
          <cell r="D262" t="str">
            <v>支</v>
          </cell>
          <cell r="E262">
            <v>3430</v>
          </cell>
        </row>
        <row r="263">
          <cell r="A263" t="str">
            <v>m27</v>
          </cell>
          <cell r="B263" t="str">
            <v>φ100cm AP管</v>
          </cell>
          <cell r="C263" t="str">
            <v>(含運費)</v>
          </cell>
          <cell r="D263" t="str">
            <v>支</v>
          </cell>
          <cell r="E263">
            <v>5520</v>
          </cell>
        </row>
        <row r="264">
          <cell r="A264" t="str">
            <v>m28</v>
          </cell>
          <cell r="B264" t="str">
            <v>φ120cm AP管</v>
          </cell>
          <cell r="C264" t="str">
            <v>(含運費)</v>
          </cell>
          <cell r="D264" t="str">
            <v>支</v>
          </cell>
          <cell r="E264">
            <v>7640</v>
          </cell>
        </row>
        <row r="265">
          <cell r="A265" t="str">
            <v>m29</v>
          </cell>
          <cell r="B265" t="str">
            <v xml:space="preserve"> 片狀排水器</v>
          </cell>
          <cell r="C265" t="str">
            <v>(含運費)</v>
          </cell>
          <cell r="D265" t="str">
            <v>個</v>
          </cell>
          <cell r="E265">
            <v>125</v>
          </cell>
        </row>
        <row r="266">
          <cell r="A266" t="str">
            <v>m30</v>
          </cell>
          <cell r="B266" t="str">
            <v xml:space="preserve"> 軟式透水管</v>
          </cell>
          <cell r="C266" t="str">
            <v>(含運費)</v>
          </cell>
          <cell r="D266" t="str">
            <v>m</v>
          </cell>
          <cell r="E266">
            <v>150</v>
          </cell>
        </row>
        <row r="267">
          <cell r="A267" t="str">
            <v>m31</v>
          </cell>
          <cell r="B267" t="str">
            <v xml:space="preserve"> 鋼軌租金</v>
          </cell>
          <cell r="C267" t="str">
            <v/>
          </cell>
          <cell r="D267" t="str">
            <v>支</v>
          </cell>
          <cell r="E267">
            <v>100</v>
          </cell>
        </row>
        <row r="268">
          <cell r="A268" t="str">
            <v>m32</v>
          </cell>
          <cell r="B268" t="str">
            <v xml:space="preserve"> 鋼版租金</v>
          </cell>
          <cell r="C268">
            <v>0</v>
          </cell>
          <cell r="D268" t="str">
            <v>片</v>
          </cell>
          <cell r="E268">
            <v>200</v>
          </cell>
        </row>
        <row r="269">
          <cell r="A269" t="str">
            <v>m33</v>
          </cell>
          <cell r="B269" t="str">
            <v xml:space="preserve"> 鋼 管 樁</v>
          </cell>
          <cell r="C269">
            <v>0</v>
          </cell>
          <cell r="D269" t="str">
            <v>m</v>
          </cell>
          <cell r="E269">
            <v>150</v>
          </cell>
        </row>
        <row r="270">
          <cell r="A270" t="str">
            <v>m34</v>
          </cell>
          <cell r="B270" t="str">
            <v xml:space="preserve"> 有機肥料</v>
          </cell>
          <cell r="C270">
            <v>0</v>
          </cell>
          <cell r="D270" t="str">
            <v>kg</v>
          </cell>
          <cell r="E270">
            <v>5</v>
          </cell>
        </row>
        <row r="271">
          <cell r="A271" t="str">
            <v>m35</v>
          </cell>
          <cell r="B271" t="str">
            <v xml:space="preserve"> 化學肥料</v>
          </cell>
          <cell r="C271">
            <v>0</v>
          </cell>
          <cell r="D271" t="str">
            <v>kg</v>
          </cell>
          <cell r="E271">
            <v>9.9</v>
          </cell>
        </row>
        <row r="272">
          <cell r="A272" t="str">
            <v>m36</v>
          </cell>
          <cell r="B272" t="str">
            <v xml:space="preserve"> 紅  磚</v>
          </cell>
          <cell r="C272">
            <v>0</v>
          </cell>
          <cell r="D272" t="str">
            <v>塊</v>
          </cell>
          <cell r="E272">
            <v>3</v>
          </cell>
        </row>
        <row r="273">
          <cell r="A273" t="str">
            <v>m37</v>
          </cell>
          <cell r="B273" t="str">
            <v xml:space="preserve"> 植草磚 (350kg/c㎡)</v>
          </cell>
          <cell r="C273">
            <v>0</v>
          </cell>
          <cell r="D273" t="str">
            <v></v>
          </cell>
          <cell r="E273">
            <v>650</v>
          </cell>
        </row>
        <row r="274">
          <cell r="A274" t="str">
            <v>m38</v>
          </cell>
          <cell r="B274" t="str">
            <v xml:space="preserve"> 鳳凰木 (φ5cm,h2.8m)</v>
          </cell>
          <cell r="C274" t="str">
            <v>冠徑1.0m</v>
          </cell>
          <cell r="D274" t="str">
            <v>株</v>
          </cell>
          <cell r="E274">
            <v>800</v>
          </cell>
        </row>
        <row r="275">
          <cell r="A275" t="str">
            <v>m39</v>
          </cell>
          <cell r="B275" t="str">
            <v xml:space="preserve"> 小葉欖仁 (φ5cm,h3m)</v>
          </cell>
          <cell r="C275" t="str">
            <v>冠徑1.0m</v>
          </cell>
          <cell r="D275" t="str">
            <v>株</v>
          </cell>
          <cell r="E275">
            <v>700</v>
          </cell>
        </row>
        <row r="276">
          <cell r="A276" t="str">
            <v>m40</v>
          </cell>
          <cell r="B276" t="str">
            <v xml:space="preserve"> 五葉松 (φ5cm,h2.0m)</v>
          </cell>
          <cell r="C276" t="str">
            <v>冠徑1.0m</v>
          </cell>
          <cell r="D276" t="str">
            <v>株</v>
          </cell>
          <cell r="E276">
            <v>1800</v>
          </cell>
        </row>
        <row r="277">
          <cell r="A277" t="str">
            <v>m41</v>
          </cell>
          <cell r="B277" t="str">
            <v xml:space="preserve"> 茄  苳 (φ7cm,h3.0m)</v>
          </cell>
          <cell r="C277" t="str">
            <v>冠徑1.2m</v>
          </cell>
          <cell r="D277" t="str">
            <v>株</v>
          </cell>
          <cell r="E277">
            <v>1500</v>
          </cell>
        </row>
        <row r="278">
          <cell r="A278" t="str">
            <v>m42</v>
          </cell>
          <cell r="B278" t="str">
            <v xml:space="preserve"> 桂  花 (h100cm)</v>
          </cell>
          <cell r="C278" t="str">
            <v>三分枝</v>
          </cell>
          <cell r="D278" t="str">
            <v>株</v>
          </cell>
          <cell r="E278">
            <v>300</v>
          </cell>
        </row>
        <row r="279">
          <cell r="A279" t="str">
            <v>m43</v>
          </cell>
          <cell r="B279" t="str">
            <v xml:space="preserve"> 南 天 竹 (h100cm)</v>
          </cell>
          <cell r="C279" t="str">
            <v>三分枝</v>
          </cell>
          <cell r="D279" t="str">
            <v>株</v>
          </cell>
          <cell r="E279">
            <v>500</v>
          </cell>
        </row>
        <row r="280">
          <cell r="A280" t="str">
            <v>m44</v>
          </cell>
          <cell r="B280" t="str">
            <v xml:space="preserve"> 變葉木 (h70cm,優型)</v>
          </cell>
          <cell r="C280" t="str">
            <v>冠徑0.5m</v>
          </cell>
          <cell r="D280" t="str">
            <v>株</v>
          </cell>
          <cell r="E280">
            <v>60</v>
          </cell>
        </row>
        <row r="281">
          <cell r="A281" t="str">
            <v>m45</v>
          </cell>
          <cell r="B281" t="str">
            <v xml:space="preserve"> 大仙丹花 (株長50cm)</v>
          </cell>
          <cell r="C281" t="str">
            <v>優型</v>
          </cell>
          <cell r="D281" t="str">
            <v>株</v>
          </cell>
          <cell r="E281">
            <v>35</v>
          </cell>
        </row>
        <row r="282">
          <cell r="A282" t="str">
            <v>m46</v>
          </cell>
          <cell r="B282" t="str">
            <v xml:space="preserve"> 春 不 老 (株長40cm)</v>
          </cell>
          <cell r="C282" t="str">
            <v>冠徑20cm</v>
          </cell>
          <cell r="D282" t="str">
            <v>株</v>
          </cell>
          <cell r="E282">
            <v>120</v>
          </cell>
        </row>
        <row r="283">
          <cell r="A283" t="str">
            <v>m47</v>
          </cell>
          <cell r="B283" t="str">
            <v xml:space="preserve"> 小葉雪茄 (株長20cm)</v>
          </cell>
          <cell r="C283" t="str">
            <v>袋苗</v>
          </cell>
          <cell r="D283" t="str">
            <v>株</v>
          </cell>
          <cell r="E283">
            <v>35</v>
          </cell>
        </row>
        <row r="284">
          <cell r="A284" t="str">
            <v>m48</v>
          </cell>
          <cell r="B284" t="str">
            <v xml:space="preserve"> 非洲鳳仙 (h15cm)</v>
          </cell>
          <cell r="C284" t="str">
            <v>單瓣,袋苗</v>
          </cell>
          <cell r="D284" t="str">
            <v>株</v>
          </cell>
          <cell r="E284">
            <v>12</v>
          </cell>
        </row>
        <row r="285">
          <cell r="A285" t="str">
            <v>m49</v>
          </cell>
          <cell r="B285" t="str">
            <v xml:space="preserve"> 百 喜 草 (草皮)</v>
          </cell>
          <cell r="C285" t="str">
            <v>優型</v>
          </cell>
          <cell r="D285" t="str">
            <v></v>
          </cell>
          <cell r="E285">
            <v>180</v>
          </cell>
        </row>
        <row r="286">
          <cell r="A286" t="str">
            <v>m50</v>
          </cell>
          <cell r="B286" t="str">
            <v xml:space="preserve"> 台 北 芝 (草皮)</v>
          </cell>
          <cell r="C286" t="str">
            <v>優型</v>
          </cell>
          <cell r="D286" t="str">
            <v></v>
          </cell>
          <cell r="E286">
            <v>180</v>
          </cell>
        </row>
        <row r="287">
          <cell r="A287" t="str">
            <v>m51</v>
          </cell>
          <cell r="B287" t="str">
            <v xml:space="preserve"> 種  子</v>
          </cell>
          <cell r="C287">
            <v>0</v>
          </cell>
          <cell r="D287" t="str">
            <v>kg</v>
          </cell>
          <cell r="E287">
            <v>385</v>
          </cell>
        </row>
        <row r="288">
          <cell r="A288" t="str">
            <v>m52</v>
          </cell>
          <cell r="B288" t="str">
            <v xml:space="preserve"> 植 生 帶</v>
          </cell>
          <cell r="C288">
            <v>0</v>
          </cell>
          <cell r="D288" t="str">
            <v></v>
          </cell>
          <cell r="E288">
            <v>40</v>
          </cell>
        </row>
        <row r="289">
          <cell r="A289" t="str">
            <v>m53</v>
          </cell>
          <cell r="B289" t="str">
            <v xml:space="preserve"> 菱形鐵絲網</v>
          </cell>
          <cell r="C289" t="str">
            <v>#14, 50mm</v>
          </cell>
          <cell r="D289" t="str">
            <v></v>
          </cell>
          <cell r="E289">
            <v>0</v>
          </cell>
        </row>
        <row r="290">
          <cell r="A290" t="str">
            <v>m54</v>
          </cell>
          <cell r="B290" t="str">
            <v xml:space="preserve"> 雜  費</v>
          </cell>
          <cell r="C290" t="str">
            <v>約 2%</v>
          </cell>
          <cell r="D290" t="str">
            <v>式</v>
          </cell>
          <cell r="E290">
            <v>0</v>
          </cell>
        </row>
        <row r="291">
          <cell r="A291" t="str">
            <v>m55</v>
          </cell>
          <cell r="B291" t="str">
            <v xml:space="preserve"> 雜  費</v>
          </cell>
          <cell r="C291" t="str">
            <v>約 2%</v>
          </cell>
          <cell r="D291" t="str">
            <v>式</v>
          </cell>
          <cell r="E291">
            <v>0</v>
          </cell>
        </row>
        <row r="292">
          <cell r="A292" t="str">
            <v>t0</v>
          </cell>
          <cell r="B292" t="str">
            <v>標 題 文 字</v>
          </cell>
        </row>
        <row r="293">
          <cell r="A293" t="str">
            <v>t1</v>
          </cell>
          <cell r="B293" t="str">
            <v>(一)發包工作費</v>
          </cell>
        </row>
        <row r="294">
          <cell r="A294" t="str">
            <v>t2</v>
          </cell>
          <cell r="B294" t="str">
            <v>(二)發包材料費</v>
          </cell>
        </row>
        <row r="295">
          <cell r="A295" t="str">
            <v>t3</v>
          </cell>
          <cell r="B295" t="str">
            <v>【 植  生  工  程 】</v>
          </cell>
        </row>
        <row r="296">
          <cell r="A296" t="str">
            <v>t4</v>
          </cell>
          <cell r="B296" t="str">
            <v>【 水 土 保 持 工 程 】</v>
          </cell>
        </row>
        <row r="297">
          <cell r="A297" t="str">
            <v>t5</v>
          </cell>
          <cell r="B297" t="str">
            <v xml:space="preserve"> 合  計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單價計算"/>
      <sheetName val="單價分析表"/>
      <sheetName val="預算書"/>
      <sheetName val="估價單1"/>
      <sheetName val="估價單2"/>
      <sheetName val="合約1"/>
      <sheetName val="合約2"/>
      <sheetName val="變更"/>
      <sheetName val="估驗"/>
      <sheetName val="結算"/>
      <sheetName val="分析資料"/>
      <sheetName val="單價總表"/>
      <sheetName val="基本單價"/>
      <sheetName val="費率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L7" t="str">
            <v>A</v>
          </cell>
          <cell r="M7" t="str">
            <v/>
          </cell>
        </row>
        <row r="8">
          <cell r="L8" t="str">
            <v>A</v>
          </cell>
          <cell r="M8" t="str">
            <v/>
          </cell>
        </row>
        <row r="9">
          <cell r="L9" t="str">
            <v>A</v>
          </cell>
          <cell r="M9" t="str">
            <v/>
          </cell>
        </row>
        <row r="10">
          <cell r="L10" t="str">
            <v>A</v>
          </cell>
          <cell r="M10" t="str">
            <v/>
          </cell>
        </row>
        <row r="11">
          <cell r="L11" t="str">
            <v>A</v>
          </cell>
          <cell r="M11" t="str">
            <v/>
          </cell>
        </row>
        <row r="12">
          <cell r="L12" t="str">
            <v>A</v>
          </cell>
          <cell r="M12" t="str">
            <v/>
          </cell>
        </row>
        <row r="13">
          <cell r="L13" t="str">
            <v>A</v>
          </cell>
          <cell r="M13" t="str">
            <v/>
          </cell>
        </row>
        <row r="14">
          <cell r="L14" t="str">
            <v>A</v>
          </cell>
          <cell r="M14" t="str">
            <v/>
          </cell>
        </row>
        <row r="15">
          <cell r="L15" t="str">
            <v>A</v>
          </cell>
          <cell r="M15" t="str">
            <v/>
          </cell>
        </row>
        <row r="16">
          <cell r="L16" t="str">
            <v>A</v>
          </cell>
          <cell r="M16" t="str">
            <v/>
          </cell>
        </row>
        <row r="17">
          <cell r="L17" t="str">
            <v>A</v>
          </cell>
          <cell r="M17" t="str">
            <v/>
          </cell>
        </row>
        <row r="18">
          <cell r="L18" t="str">
            <v>A</v>
          </cell>
          <cell r="M18" t="str">
            <v/>
          </cell>
        </row>
        <row r="19">
          <cell r="L19" t="str">
            <v>A</v>
          </cell>
          <cell r="M19" t="str">
            <v/>
          </cell>
        </row>
        <row r="20">
          <cell r="L20" t="str">
            <v>A</v>
          </cell>
          <cell r="M20" t="str">
            <v/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單價計算"/>
      <sheetName val="費率"/>
      <sheetName val="單價分析表"/>
      <sheetName val="預算書"/>
      <sheetName val="估價單1"/>
      <sheetName val="估價單2"/>
      <sheetName val="合約1"/>
      <sheetName val="合約2"/>
      <sheetName val="變更"/>
      <sheetName val="估驗"/>
      <sheetName val="結算"/>
      <sheetName val="分析資料"/>
      <sheetName val="單價總表"/>
      <sheetName val="基本單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2" t="str">
            <v>No</v>
          </cell>
          <cell r="B2" t="str">
            <v>工程項目</v>
          </cell>
          <cell r="C2" t="str">
            <v>單位</v>
          </cell>
          <cell r="D2" t="str">
            <v>工料項1</v>
          </cell>
          <cell r="E2" t="str">
            <v>說明1</v>
          </cell>
          <cell r="F2" t="str">
            <v>單位1</v>
          </cell>
          <cell r="G2" t="str">
            <v>數量1</v>
          </cell>
          <cell r="H2" t="str">
            <v>單價1</v>
          </cell>
          <cell r="I2" t="str">
            <v>總價1</v>
          </cell>
          <cell r="J2" t="str">
            <v>備註1</v>
          </cell>
          <cell r="K2" t="str">
            <v>工料項2</v>
          </cell>
          <cell r="L2" t="str">
            <v>說明2</v>
          </cell>
          <cell r="M2" t="str">
            <v>單位2</v>
          </cell>
          <cell r="N2" t="str">
            <v>數量2</v>
          </cell>
          <cell r="O2" t="str">
            <v>單價2</v>
          </cell>
          <cell r="P2" t="str">
            <v>總價2</v>
          </cell>
          <cell r="Q2" t="str">
            <v>備註1</v>
          </cell>
          <cell r="R2" t="str">
            <v>工料項3</v>
          </cell>
          <cell r="S2" t="str">
            <v>說明3</v>
          </cell>
          <cell r="T2" t="str">
            <v>單位3</v>
          </cell>
          <cell r="U2" t="str">
            <v>數量3</v>
          </cell>
          <cell r="V2" t="str">
            <v>單價3</v>
          </cell>
          <cell r="W2" t="str">
            <v>總價3</v>
          </cell>
          <cell r="X2" t="str">
            <v>備註1</v>
          </cell>
          <cell r="Y2" t="str">
            <v>工料項4</v>
          </cell>
          <cell r="Z2" t="str">
            <v>說明4</v>
          </cell>
          <cell r="AA2" t="str">
            <v>單位4</v>
          </cell>
          <cell r="AB2" t="str">
            <v>數量4</v>
          </cell>
          <cell r="AC2" t="str">
            <v>單價4</v>
          </cell>
          <cell r="AD2" t="str">
            <v>總價4</v>
          </cell>
          <cell r="AE2" t="str">
            <v>備註1</v>
          </cell>
          <cell r="AF2" t="str">
            <v>工料項5</v>
          </cell>
          <cell r="AG2" t="str">
            <v>說明5</v>
          </cell>
          <cell r="AH2" t="str">
            <v>單位5</v>
          </cell>
          <cell r="AI2" t="str">
            <v>數量5</v>
          </cell>
          <cell r="AJ2" t="str">
            <v>單價5</v>
          </cell>
          <cell r="AK2" t="str">
            <v>總價5</v>
          </cell>
          <cell r="AL2" t="str">
            <v>備註1</v>
          </cell>
          <cell r="AM2" t="str">
            <v>工料項6</v>
          </cell>
          <cell r="AN2" t="str">
            <v>說明6</v>
          </cell>
          <cell r="AO2" t="str">
            <v>單位6</v>
          </cell>
          <cell r="AP2" t="str">
            <v>數量6</v>
          </cell>
          <cell r="AQ2" t="str">
            <v>單價6</v>
          </cell>
          <cell r="AR2" t="str">
            <v>總價6</v>
          </cell>
          <cell r="AS2" t="str">
            <v>備註1</v>
          </cell>
          <cell r="AT2" t="str">
            <v>工料項7</v>
          </cell>
          <cell r="AU2" t="str">
            <v>說明7</v>
          </cell>
          <cell r="AV2" t="str">
            <v>單位7</v>
          </cell>
          <cell r="AW2" t="str">
            <v>數量7</v>
          </cell>
          <cell r="AX2" t="str">
            <v>單價7</v>
          </cell>
          <cell r="AY2" t="str">
            <v>總價7</v>
          </cell>
          <cell r="AZ2" t="str">
            <v>備註1</v>
          </cell>
          <cell r="BA2" t="str">
            <v>工料項8</v>
          </cell>
          <cell r="BB2" t="str">
            <v>說明8</v>
          </cell>
          <cell r="BC2" t="str">
            <v>單位8</v>
          </cell>
          <cell r="BD2" t="str">
            <v>數量8</v>
          </cell>
          <cell r="BE2" t="str">
            <v>單價8</v>
          </cell>
          <cell r="BF2" t="str">
            <v>總價8</v>
          </cell>
          <cell r="BG2" t="str">
            <v>備註1</v>
          </cell>
          <cell r="BH2" t="str">
            <v>工料項9</v>
          </cell>
          <cell r="BI2" t="str">
            <v>說明9</v>
          </cell>
          <cell r="BJ2" t="str">
            <v>單位9</v>
          </cell>
          <cell r="BK2" t="str">
            <v>數量9</v>
          </cell>
          <cell r="BL2" t="str">
            <v>單價9</v>
          </cell>
          <cell r="BM2" t="str">
            <v>總價9</v>
          </cell>
          <cell r="BN2" t="str">
            <v>備註1</v>
          </cell>
          <cell r="BO2" t="str">
            <v>工料項10</v>
          </cell>
          <cell r="BP2" t="str">
            <v>說明10</v>
          </cell>
          <cell r="BQ2" t="str">
            <v>單位10</v>
          </cell>
          <cell r="BR2" t="str">
            <v>數量10</v>
          </cell>
          <cell r="BS2" t="str">
            <v>單價10</v>
          </cell>
          <cell r="BT2" t="str">
            <v>備註1</v>
          </cell>
        </row>
        <row r="3">
          <cell r="A3" t="str">
            <v>a39</v>
          </cell>
          <cell r="B3" t="str">
            <v xml:space="preserve"> 採 淨 砂</v>
          </cell>
          <cell r="C3" t="str">
            <v></v>
          </cell>
          <cell r="D3" t="str">
            <v xml:space="preserve"> 普 通 工</v>
          </cell>
          <cell r="E3" t="str">
            <v>含砂量30%以下</v>
          </cell>
          <cell r="F3" t="str">
            <v>工</v>
          </cell>
          <cell r="G3">
            <v>0.7</v>
          </cell>
          <cell r="H3">
            <v>530</v>
          </cell>
          <cell r="I3">
            <v>371</v>
          </cell>
          <cell r="K3" t="str">
            <v xml:space="preserve"> 裝 卸 費</v>
          </cell>
          <cell r="L3">
            <v>0</v>
          </cell>
          <cell r="M3" t="str">
            <v>工</v>
          </cell>
          <cell r="N3">
            <v>0.06</v>
          </cell>
          <cell r="O3">
            <v>530</v>
          </cell>
          <cell r="P3">
            <v>31.799999999999997</v>
          </cell>
          <cell r="R3" t="str">
            <v xml:space="preserve"> 搬 運 費</v>
          </cell>
          <cell r="S3" t="str">
            <v>按運距分析</v>
          </cell>
          <cell r="T3" t="str">
            <v>式</v>
          </cell>
          <cell r="U3">
            <v>1</v>
          </cell>
          <cell r="W3">
            <v>0</v>
          </cell>
          <cell r="Y3" t="str">
            <v xml:space="preserve"> 工具搬運及損耗</v>
          </cell>
          <cell r="Z3" t="str">
            <v>約勞力部份2%</v>
          </cell>
          <cell r="AA3" t="str">
            <v>式</v>
          </cell>
          <cell r="AB3">
            <v>1</v>
          </cell>
          <cell r="AD3">
            <v>0</v>
          </cell>
          <cell r="AK3">
            <v>0</v>
          </cell>
        </row>
        <row r="4">
          <cell r="A4" t="str">
            <v>a40</v>
          </cell>
          <cell r="B4" t="str">
            <v xml:space="preserve"> 採淨石子</v>
          </cell>
          <cell r="C4" t="str">
            <v></v>
          </cell>
          <cell r="D4" t="str">
            <v xml:space="preserve"> 普 通 工</v>
          </cell>
          <cell r="E4" t="str">
            <v>含骨材30%以下</v>
          </cell>
          <cell r="F4" t="str">
            <v>工</v>
          </cell>
          <cell r="G4">
            <v>0.9</v>
          </cell>
          <cell r="H4">
            <v>530</v>
          </cell>
          <cell r="I4">
            <v>477</v>
          </cell>
          <cell r="K4" t="str">
            <v xml:space="preserve"> 裝 卸 費</v>
          </cell>
          <cell r="L4">
            <v>0</v>
          </cell>
          <cell r="M4" t="str">
            <v>工</v>
          </cell>
          <cell r="N4">
            <v>0.06</v>
          </cell>
          <cell r="O4">
            <v>530</v>
          </cell>
          <cell r="P4">
            <v>31.799999999999997</v>
          </cell>
          <cell r="R4" t="str">
            <v xml:space="preserve"> 搬 運 費</v>
          </cell>
          <cell r="S4" t="str">
            <v>按運距分析</v>
          </cell>
          <cell r="T4" t="str">
            <v>式</v>
          </cell>
          <cell r="U4">
            <v>1</v>
          </cell>
          <cell r="W4">
            <v>0</v>
          </cell>
          <cell r="Y4" t="str">
            <v xml:space="preserve"> 工具搬運及損耗</v>
          </cell>
          <cell r="Z4" t="str">
            <v>約勞力部份3%</v>
          </cell>
          <cell r="AA4" t="str">
            <v>式</v>
          </cell>
          <cell r="AB4">
            <v>1</v>
          </cell>
          <cell r="AD4">
            <v>0</v>
          </cell>
          <cell r="AK4">
            <v>0</v>
          </cell>
        </row>
        <row r="5">
          <cell r="A5" t="str">
            <v>a41</v>
          </cell>
          <cell r="B5" t="str">
            <v xml:space="preserve"> 採淨塊石( φ20~30cm )</v>
          </cell>
          <cell r="C5" t="str">
            <v></v>
          </cell>
          <cell r="D5" t="str">
            <v xml:space="preserve"> 普 通 工</v>
          </cell>
          <cell r="E5">
            <v>0</v>
          </cell>
          <cell r="F5" t="str">
            <v>工</v>
          </cell>
          <cell r="G5">
            <v>0.45</v>
          </cell>
          <cell r="H5">
            <v>530</v>
          </cell>
          <cell r="I5">
            <v>238.5</v>
          </cell>
          <cell r="K5" t="str">
            <v xml:space="preserve"> 裝 卸 費</v>
          </cell>
          <cell r="L5">
            <v>0</v>
          </cell>
          <cell r="M5" t="str">
            <v>工</v>
          </cell>
          <cell r="N5">
            <v>0.06</v>
          </cell>
          <cell r="O5">
            <v>530</v>
          </cell>
          <cell r="P5">
            <v>31.799999999999997</v>
          </cell>
          <cell r="R5" t="str">
            <v xml:space="preserve"> 搬 運 費</v>
          </cell>
          <cell r="S5" t="str">
            <v>按運距分析</v>
          </cell>
          <cell r="T5" t="str">
            <v>式</v>
          </cell>
          <cell r="U5">
            <v>1</v>
          </cell>
          <cell r="W5">
            <v>0</v>
          </cell>
          <cell r="Y5" t="str">
            <v xml:space="preserve"> 工具搬運及損耗</v>
          </cell>
          <cell r="Z5" t="str">
            <v>約勞力部份2%</v>
          </cell>
          <cell r="AA5" t="str">
            <v>式</v>
          </cell>
          <cell r="AB5">
            <v>1</v>
          </cell>
          <cell r="AD5">
            <v>0</v>
          </cell>
          <cell r="AK5">
            <v>0</v>
          </cell>
        </row>
        <row r="6">
          <cell r="A6" t="str">
            <v>a43</v>
          </cell>
          <cell r="B6" t="str">
            <v xml:space="preserve"> 採天然級配</v>
          </cell>
          <cell r="C6" t="str">
            <v></v>
          </cell>
          <cell r="D6" t="str">
            <v xml:space="preserve"> 普 通 工</v>
          </cell>
          <cell r="E6">
            <v>0</v>
          </cell>
          <cell r="F6" t="str">
            <v>工</v>
          </cell>
          <cell r="G6">
            <v>0.28000000000000003</v>
          </cell>
          <cell r="H6">
            <v>530</v>
          </cell>
          <cell r="I6">
            <v>148.4</v>
          </cell>
          <cell r="K6" t="str">
            <v xml:space="preserve"> 裝 卸 費</v>
          </cell>
          <cell r="L6">
            <v>0</v>
          </cell>
          <cell r="M6" t="str">
            <v>工</v>
          </cell>
          <cell r="N6">
            <v>0.06</v>
          </cell>
          <cell r="O6">
            <v>530</v>
          </cell>
          <cell r="P6">
            <v>31.799999999999997</v>
          </cell>
          <cell r="R6" t="str">
            <v xml:space="preserve"> 搬 運 費</v>
          </cell>
          <cell r="S6" t="str">
            <v>按運距分析</v>
          </cell>
          <cell r="T6" t="str">
            <v>式</v>
          </cell>
          <cell r="U6">
            <v>1</v>
          </cell>
          <cell r="W6">
            <v>0</v>
          </cell>
          <cell r="Y6" t="str">
            <v xml:space="preserve"> 工具搬運及損耗</v>
          </cell>
          <cell r="Z6" t="str">
            <v>約勞力部份3%</v>
          </cell>
          <cell r="AA6" t="str">
            <v>式</v>
          </cell>
          <cell r="AB6">
            <v>1</v>
          </cell>
          <cell r="AD6">
            <v>0</v>
          </cell>
          <cell r="AK6">
            <v>0</v>
          </cell>
        </row>
        <row r="7">
          <cell r="A7" t="str">
            <v>a44</v>
          </cell>
          <cell r="B7" t="str">
            <v xml:space="preserve"> 採背填卵石</v>
          </cell>
          <cell r="C7" t="str">
            <v></v>
          </cell>
          <cell r="D7" t="str">
            <v xml:space="preserve"> 普 通 工</v>
          </cell>
          <cell r="E7">
            <v>0</v>
          </cell>
          <cell r="F7" t="str">
            <v>工</v>
          </cell>
          <cell r="G7">
            <v>0.3</v>
          </cell>
          <cell r="H7">
            <v>530</v>
          </cell>
          <cell r="I7">
            <v>159</v>
          </cell>
          <cell r="K7" t="str">
            <v xml:space="preserve"> 裝 卸 費</v>
          </cell>
          <cell r="L7">
            <v>0</v>
          </cell>
          <cell r="M7" t="str">
            <v>工</v>
          </cell>
          <cell r="N7">
            <v>0.06</v>
          </cell>
          <cell r="O7">
            <v>530</v>
          </cell>
          <cell r="P7">
            <v>31.799999999999997</v>
          </cell>
          <cell r="R7" t="str">
            <v xml:space="preserve"> 搬 運 費</v>
          </cell>
          <cell r="S7" t="str">
            <v>按運距分析</v>
          </cell>
          <cell r="T7" t="str">
            <v>式</v>
          </cell>
          <cell r="U7">
            <v>1</v>
          </cell>
          <cell r="W7">
            <v>0</v>
          </cell>
          <cell r="Y7" t="str">
            <v xml:space="preserve"> 工具搬運及損耗</v>
          </cell>
          <cell r="Z7" t="str">
            <v>約勞力部份3%</v>
          </cell>
          <cell r="AA7" t="str">
            <v>式</v>
          </cell>
          <cell r="AB7">
            <v>1</v>
          </cell>
          <cell r="AD7">
            <v>0</v>
          </cell>
          <cell r="AK7">
            <v>0</v>
          </cell>
        </row>
        <row r="8">
          <cell r="A8" t="str">
            <v>a45</v>
          </cell>
          <cell r="B8" t="str">
            <v xml:space="preserve"> 採角石( 石長 25x25x30cm )</v>
          </cell>
          <cell r="C8" t="str">
            <v>塊</v>
          </cell>
          <cell r="D8" t="str">
            <v xml:space="preserve"> 特種技工</v>
          </cell>
          <cell r="E8">
            <v>0</v>
          </cell>
          <cell r="F8" t="str">
            <v>工</v>
          </cell>
          <cell r="G8">
            <v>0.02</v>
          </cell>
          <cell r="H8">
            <v>800</v>
          </cell>
          <cell r="I8">
            <v>16</v>
          </cell>
          <cell r="K8" t="str">
            <v xml:space="preserve"> 普 通 工</v>
          </cell>
          <cell r="L8">
            <v>0</v>
          </cell>
          <cell r="M8" t="str">
            <v>工</v>
          </cell>
          <cell r="N8">
            <v>0.01</v>
          </cell>
          <cell r="O8">
            <v>530</v>
          </cell>
          <cell r="P8">
            <v>5.3</v>
          </cell>
          <cell r="R8" t="str">
            <v xml:space="preserve"> 裝 卸 費</v>
          </cell>
          <cell r="S8">
            <v>0</v>
          </cell>
          <cell r="T8" t="str">
            <v>工</v>
          </cell>
          <cell r="U8">
            <v>0.06</v>
          </cell>
          <cell r="V8">
            <v>530</v>
          </cell>
          <cell r="W8">
            <v>31.799999999999997</v>
          </cell>
          <cell r="Y8" t="str">
            <v xml:space="preserve"> 搬 運 費</v>
          </cell>
          <cell r="Z8" t="str">
            <v>按運距分析</v>
          </cell>
          <cell r="AA8" t="str">
            <v>式</v>
          </cell>
          <cell r="AB8">
            <v>1</v>
          </cell>
          <cell r="AD8">
            <v>0</v>
          </cell>
          <cell r="AF8" t="str">
            <v xml:space="preserve"> 工具搬運及損耗</v>
          </cell>
          <cell r="AG8" t="str">
            <v>約勞力部份3%</v>
          </cell>
          <cell r="AH8" t="str">
            <v>式</v>
          </cell>
          <cell r="AI8">
            <v>1</v>
          </cell>
          <cell r="AK8">
            <v>0</v>
          </cell>
        </row>
        <row r="9">
          <cell r="A9" t="str">
            <v>a46</v>
          </cell>
          <cell r="B9" t="str">
            <v xml:space="preserve"> 採割石 ( 石面 0.04㎡ )</v>
          </cell>
          <cell r="C9" t="str">
            <v></v>
          </cell>
          <cell r="D9" t="str">
            <v xml:space="preserve"> 特種技工</v>
          </cell>
          <cell r="E9">
            <v>0</v>
          </cell>
          <cell r="F9" t="str">
            <v>工</v>
          </cell>
          <cell r="G9">
            <v>0.45</v>
          </cell>
          <cell r="H9">
            <v>800</v>
          </cell>
          <cell r="I9">
            <v>360</v>
          </cell>
          <cell r="K9" t="str">
            <v xml:space="preserve"> 普 通 工</v>
          </cell>
          <cell r="L9">
            <v>0</v>
          </cell>
          <cell r="M9" t="str">
            <v>工</v>
          </cell>
          <cell r="N9">
            <v>0.25</v>
          </cell>
          <cell r="O9">
            <v>530</v>
          </cell>
          <cell r="P9">
            <v>132.5</v>
          </cell>
          <cell r="R9" t="str">
            <v xml:space="preserve"> 裝 卸 費</v>
          </cell>
          <cell r="S9">
            <v>0</v>
          </cell>
          <cell r="T9" t="str">
            <v>工</v>
          </cell>
          <cell r="U9">
            <v>0.06</v>
          </cell>
          <cell r="V9">
            <v>530</v>
          </cell>
          <cell r="W9">
            <v>31.799999999999997</v>
          </cell>
          <cell r="Y9" t="str">
            <v xml:space="preserve"> 搬 運 費</v>
          </cell>
          <cell r="Z9" t="str">
            <v>按運距分析</v>
          </cell>
          <cell r="AA9" t="str">
            <v>式</v>
          </cell>
          <cell r="AB9">
            <v>1</v>
          </cell>
          <cell r="AD9">
            <v>0</v>
          </cell>
          <cell r="AF9" t="str">
            <v xml:space="preserve"> 工具搬運及損耗</v>
          </cell>
          <cell r="AG9" t="str">
            <v>約勞力部份3%</v>
          </cell>
          <cell r="AH9" t="str">
            <v>式</v>
          </cell>
          <cell r="AI9">
            <v>1</v>
          </cell>
          <cell r="AK9">
            <v>0</v>
          </cell>
        </row>
        <row r="10">
          <cell r="A10" t="str">
            <v>a47</v>
          </cell>
          <cell r="B10" t="str">
            <v xml:space="preserve"> 人工拌合1:2水泥砂漿</v>
          </cell>
          <cell r="C10" t="str">
            <v></v>
          </cell>
          <cell r="D10" t="str">
            <v xml:space="preserve"> 淨  砂</v>
          </cell>
          <cell r="E10">
            <v>0</v>
          </cell>
          <cell r="F10" t="str">
            <v></v>
          </cell>
          <cell r="G10">
            <v>0.9</v>
          </cell>
          <cell r="I10">
            <v>0</v>
          </cell>
          <cell r="K10" t="str">
            <v xml:space="preserve"> 普 通 工</v>
          </cell>
          <cell r="L10">
            <v>0</v>
          </cell>
          <cell r="M10" t="str">
            <v>工</v>
          </cell>
          <cell r="N10">
            <v>0.65</v>
          </cell>
          <cell r="O10">
            <v>530</v>
          </cell>
          <cell r="P10">
            <v>344.5</v>
          </cell>
          <cell r="R10" t="str">
            <v xml:space="preserve"> 工具搬運及損耗</v>
          </cell>
          <cell r="S10" t="str">
            <v>約勞力部份2%</v>
          </cell>
          <cell r="T10" t="str">
            <v>式</v>
          </cell>
          <cell r="U10">
            <v>1</v>
          </cell>
          <cell r="W10">
            <v>0</v>
          </cell>
          <cell r="Y10" t="str">
            <v xml:space="preserve"> 水  泥</v>
          </cell>
          <cell r="AA10" t="str">
            <v>包</v>
          </cell>
          <cell r="AB10">
            <v>13</v>
          </cell>
          <cell r="AD10">
            <v>0</v>
          </cell>
          <cell r="AE10" t="str">
            <v>另計</v>
          </cell>
          <cell r="AK10">
            <v>0</v>
          </cell>
        </row>
        <row r="11">
          <cell r="A11" t="str">
            <v>a48</v>
          </cell>
          <cell r="B11" t="str">
            <v xml:space="preserve"> 人工拌合1:3水泥砂漿</v>
          </cell>
          <cell r="C11" t="str">
            <v></v>
          </cell>
          <cell r="D11" t="str">
            <v xml:space="preserve"> 淨  砂</v>
          </cell>
          <cell r="E11">
            <v>0</v>
          </cell>
          <cell r="F11" t="str">
            <v></v>
          </cell>
          <cell r="G11">
            <v>1</v>
          </cell>
          <cell r="I11">
            <v>0</v>
          </cell>
          <cell r="K11" t="str">
            <v xml:space="preserve"> 普 通 工</v>
          </cell>
          <cell r="L11">
            <v>0</v>
          </cell>
          <cell r="M11" t="str">
            <v>工</v>
          </cell>
          <cell r="N11">
            <v>0.64</v>
          </cell>
          <cell r="O11">
            <v>530</v>
          </cell>
          <cell r="P11">
            <v>339.2</v>
          </cell>
          <cell r="R11" t="str">
            <v xml:space="preserve"> 工具搬運及損耗</v>
          </cell>
          <cell r="S11" t="str">
            <v>約勞力部份2%</v>
          </cell>
          <cell r="T11" t="str">
            <v>式</v>
          </cell>
          <cell r="U11">
            <v>1</v>
          </cell>
          <cell r="W11">
            <v>0</v>
          </cell>
          <cell r="Y11" t="str">
            <v xml:space="preserve"> 水  泥</v>
          </cell>
          <cell r="AA11" t="str">
            <v>包</v>
          </cell>
          <cell r="AB11">
            <v>10</v>
          </cell>
          <cell r="AD11">
            <v>0</v>
          </cell>
          <cell r="AE11" t="str">
            <v>另計</v>
          </cell>
          <cell r="AK11">
            <v>0</v>
          </cell>
        </row>
        <row r="12">
          <cell r="A12" t="str">
            <v>a49</v>
          </cell>
          <cell r="B12" t="str">
            <v xml:space="preserve"> 人工拌合1:4水泥砂漿</v>
          </cell>
          <cell r="C12" t="str">
            <v></v>
          </cell>
          <cell r="D12" t="str">
            <v xml:space="preserve"> 淨  砂</v>
          </cell>
          <cell r="E12">
            <v>0</v>
          </cell>
          <cell r="F12" t="str">
            <v></v>
          </cell>
          <cell r="G12">
            <v>1.08</v>
          </cell>
          <cell r="I12">
            <v>0</v>
          </cell>
          <cell r="K12" t="str">
            <v xml:space="preserve"> 普 通 工</v>
          </cell>
          <cell r="L12">
            <v>0</v>
          </cell>
          <cell r="M12" t="str">
            <v>工</v>
          </cell>
          <cell r="N12">
            <v>0.63</v>
          </cell>
          <cell r="O12">
            <v>530</v>
          </cell>
          <cell r="P12">
            <v>333.9</v>
          </cell>
          <cell r="R12" t="str">
            <v xml:space="preserve"> 工具搬運及損耗</v>
          </cell>
          <cell r="S12" t="str">
            <v>約勞力部份2%</v>
          </cell>
          <cell r="T12" t="str">
            <v>式</v>
          </cell>
          <cell r="U12">
            <v>1</v>
          </cell>
          <cell r="W12">
            <v>0</v>
          </cell>
          <cell r="Y12" t="str">
            <v xml:space="preserve"> 水  泥</v>
          </cell>
          <cell r="AA12" t="str">
            <v>包</v>
          </cell>
          <cell r="AB12">
            <v>8.1999999999999993</v>
          </cell>
          <cell r="AD12">
            <v>0</v>
          </cell>
          <cell r="AE12" t="str">
            <v>另計</v>
          </cell>
          <cell r="AK12">
            <v>0</v>
          </cell>
        </row>
        <row r="13">
          <cell r="A13" t="str">
            <v>a50</v>
          </cell>
          <cell r="B13" t="str">
            <v xml:space="preserve"> 人工拌合350kg/c㎡混凝土</v>
          </cell>
          <cell r="C13" t="str">
            <v></v>
          </cell>
          <cell r="D13" t="str">
            <v xml:space="preserve"> 淨  砂</v>
          </cell>
          <cell r="E13">
            <v>0</v>
          </cell>
          <cell r="F13" t="str">
            <v></v>
          </cell>
          <cell r="G13">
            <v>0.54</v>
          </cell>
          <cell r="I13">
            <v>0</v>
          </cell>
          <cell r="K13" t="str">
            <v xml:space="preserve"> 洗 石 子</v>
          </cell>
          <cell r="L13">
            <v>0</v>
          </cell>
          <cell r="M13" t="str">
            <v></v>
          </cell>
          <cell r="N13">
            <v>0.75</v>
          </cell>
          <cell r="P13">
            <v>0</v>
          </cell>
          <cell r="R13" t="str">
            <v xml:space="preserve"> 普 通 工</v>
          </cell>
          <cell r="S13">
            <v>0</v>
          </cell>
          <cell r="T13" t="str">
            <v>工</v>
          </cell>
          <cell r="U13">
            <v>1.52</v>
          </cell>
          <cell r="V13">
            <v>530</v>
          </cell>
          <cell r="W13">
            <v>805.6</v>
          </cell>
          <cell r="Y13" t="str">
            <v xml:space="preserve"> 工具搬運及損耗</v>
          </cell>
          <cell r="Z13" t="str">
            <v>約勞力部份3%</v>
          </cell>
          <cell r="AA13" t="str">
            <v>式</v>
          </cell>
          <cell r="AB13">
            <v>1</v>
          </cell>
          <cell r="AD13">
            <v>0</v>
          </cell>
          <cell r="AF13" t="str">
            <v xml:space="preserve"> 水  泥</v>
          </cell>
          <cell r="AH13" t="str">
            <v>包</v>
          </cell>
          <cell r="AI13">
            <v>8.5</v>
          </cell>
          <cell r="AK13">
            <v>0</v>
          </cell>
          <cell r="AL13" t="str">
            <v>另計</v>
          </cell>
        </row>
        <row r="14">
          <cell r="A14" t="str">
            <v>a51</v>
          </cell>
          <cell r="B14" t="str">
            <v xml:space="preserve"> 人工拌合210kg/c㎡混凝土</v>
          </cell>
          <cell r="C14" t="str">
            <v></v>
          </cell>
          <cell r="D14" t="str">
            <v xml:space="preserve"> 淨  砂</v>
          </cell>
          <cell r="E14">
            <v>0</v>
          </cell>
          <cell r="F14" t="str">
            <v></v>
          </cell>
          <cell r="G14">
            <v>0.43</v>
          </cell>
          <cell r="I14">
            <v>0</v>
          </cell>
          <cell r="K14" t="str">
            <v xml:space="preserve"> 洗 石 子</v>
          </cell>
          <cell r="L14">
            <v>0</v>
          </cell>
          <cell r="M14" t="str">
            <v></v>
          </cell>
          <cell r="N14">
            <v>0.86</v>
          </cell>
          <cell r="P14">
            <v>0</v>
          </cell>
          <cell r="R14" t="str">
            <v xml:space="preserve"> 普 通 工</v>
          </cell>
          <cell r="S14">
            <v>0</v>
          </cell>
          <cell r="T14" t="str">
            <v>工</v>
          </cell>
          <cell r="U14">
            <v>1.3</v>
          </cell>
          <cell r="V14">
            <v>530</v>
          </cell>
          <cell r="W14">
            <v>689</v>
          </cell>
          <cell r="Y14" t="str">
            <v xml:space="preserve"> 工具搬運及損耗</v>
          </cell>
          <cell r="Z14" t="str">
            <v>約勞力部份3%</v>
          </cell>
          <cell r="AA14" t="str">
            <v>式</v>
          </cell>
          <cell r="AB14">
            <v>1</v>
          </cell>
          <cell r="AD14">
            <v>0</v>
          </cell>
          <cell r="AF14" t="str">
            <v xml:space="preserve"> 水  泥</v>
          </cell>
          <cell r="AH14" t="str">
            <v>包</v>
          </cell>
          <cell r="AI14">
            <v>6.4</v>
          </cell>
          <cell r="AK14">
            <v>0</v>
          </cell>
          <cell r="AL14" t="str">
            <v>另計</v>
          </cell>
        </row>
        <row r="15">
          <cell r="A15" t="str">
            <v>a52</v>
          </cell>
          <cell r="B15" t="str">
            <v xml:space="preserve"> 人工拌合140kg/c㎡混凝土</v>
          </cell>
          <cell r="C15" t="str">
            <v></v>
          </cell>
          <cell r="D15" t="str">
            <v xml:space="preserve"> 淨  砂</v>
          </cell>
          <cell r="E15">
            <v>0</v>
          </cell>
          <cell r="F15" t="str">
            <v></v>
          </cell>
          <cell r="G15">
            <v>0.45</v>
          </cell>
          <cell r="I15">
            <v>0</v>
          </cell>
          <cell r="K15" t="str">
            <v xml:space="preserve"> 洗 石 子</v>
          </cell>
          <cell r="L15">
            <v>0</v>
          </cell>
          <cell r="M15" t="str">
            <v></v>
          </cell>
          <cell r="N15">
            <v>0.9</v>
          </cell>
          <cell r="P15">
            <v>0</v>
          </cell>
          <cell r="R15" t="str">
            <v xml:space="preserve"> 普 通 工</v>
          </cell>
          <cell r="S15">
            <v>0</v>
          </cell>
          <cell r="T15" t="str">
            <v>工</v>
          </cell>
          <cell r="U15">
            <v>1.25</v>
          </cell>
          <cell r="V15">
            <v>530</v>
          </cell>
          <cell r="W15">
            <v>662.5</v>
          </cell>
          <cell r="Y15" t="str">
            <v xml:space="preserve"> 工具搬運及損耗</v>
          </cell>
          <cell r="Z15" t="str">
            <v>約勞力部份3%</v>
          </cell>
          <cell r="AA15" t="str">
            <v>式</v>
          </cell>
          <cell r="AB15">
            <v>1</v>
          </cell>
          <cell r="AD15">
            <v>0</v>
          </cell>
          <cell r="AF15" t="str">
            <v xml:space="preserve"> 水  泥</v>
          </cell>
          <cell r="AH15" t="str">
            <v>包</v>
          </cell>
          <cell r="AI15">
            <v>4.5</v>
          </cell>
          <cell r="AK15">
            <v>0</v>
          </cell>
          <cell r="AL15" t="str">
            <v>另計</v>
          </cell>
        </row>
        <row r="16">
          <cell r="A16" t="str">
            <v>a53</v>
          </cell>
          <cell r="B16" t="str">
            <v xml:space="preserve"> 人工拌合125kg/c㎡混凝土</v>
          </cell>
          <cell r="C16" t="str">
            <v></v>
          </cell>
          <cell r="D16" t="str">
            <v xml:space="preserve"> 淨  砂</v>
          </cell>
          <cell r="E16">
            <v>0</v>
          </cell>
          <cell r="F16" t="str">
            <v></v>
          </cell>
          <cell r="G16">
            <v>0.46</v>
          </cell>
          <cell r="I16">
            <v>0</v>
          </cell>
          <cell r="K16" t="str">
            <v xml:space="preserve"> 洗 石 子</v>
          </cell>
          <cell r="L16">
            <v>0</v>
          </cell>
          <cell r="M16" t="str">
            <v></v>
          </cell>
          <cell r="N16">
            <v>0.92</v>
          </cell>
          <cell r="P16">
            <v>0</v>
          </cell>
          <cell r="R16" t="str">
            <v xml:space="preserve"> 普 通 工</v>
          </cell>
          <cell r="S16">
            <v>0</v>
          </cell>
          <cell r="T16" t="str">
            <v>工</v>
          </cell>
          <cell r="U16">
            <v>1.2</v>
          </cell>
          <cell r="V16">
            <v>530</v>
          </cell>
          <cell r="W16">
            <v>636</v>
          </cell>
          <cell r="Y16" t="str">
            <v xml:space="preserve"> 工具搬運及損耗</v>
          </cell>
          <cell r="Z16" t="str">
            <v>約勞力部份3%</v>
          </cell>
          <cell r="AA16" t="str">
            <v>式</v>
          </cell>
          <cell r="AB16">
            <v>1</v>
          </cell>
          <cell r="AD16">
            <v>0</v>
          </cell>
          <cell r="AF16" t="str">
            <v xml:space="preserve"> 水  泥</v>
          </cell>
          <cell r="AH16" t="str">
            <v>包</v>
          </cell>
          <cell r="AI16">
            <v>3.5</v>
          </cell>
          <cell r="AK16">
            <v>0</v>
          </cell>
          <cell r="AL16" t="str">
            <v>另計</v>
          </cell>
        </row>
        <row r="17">
          <cell r="A17" t="str">
            <v>a55</v>
          </cell>
          <cell r="B17" t="str">
            <v xml:space="preserve"> 機拌 350kg/c㎡混凝土</v>
          </cell>
          <cell r="C17" t="str">
            <v></v>
          </cell>
          <cell r="D17" t="str">
            <v xml:space="preserve"> 淨  砂</v>
          </cell>
          <cell r="E17">
            <v>0</v>
          </cell>
          <cell r="F17" t="str">
            <v></v>
          </cell>
          <cell r="G17">
            <v>0.54</v>
          </cell>
          <cell r="I17">
            <v>0</v>
          </cell>
          <cell r="K17" t="str">
            <v xml:space="preserve"> 洗 石 子</v>
          </cell>
          <cell r="L17">
            <v>0</v>
          </cell>
          <cell r="M17" t="str">
            <v></v>
          </cell>
          <cell r="N17">
            <v>0.75</v>
          </cell>
          <cell r="P17">
            <v>0</v>
          </cell>
          <cell r="R17" t="str">
            <v xml:space="preserve"> 柴  油</v>
          </cell>
          <cell r="T17" t="str">
            <v>公升</v>
          </cell>
          <cell r="U17">
            <v>0.65</v>
          </cell>
          <cell r="V17">
            <v>12.1</v>
          </cell>
          <cell r="W17">
            <v>7.8650000000000002</v>
          </cell>
          <cell r="Y17" t="str">
            <v xml:space="preserve"> 半 技 工</v>
          </cell>
          <cell r="Z17">
            <v>0</v>
          </cell>
          <cell r="AA17" t="str">
            <v>工</v>
          </cell>
          <cell r="AB17">
            <v>0.1</v>
          </cell>
          <cell r="AC17">
            <v>560</v>
          </cell>
          <cell r="AD17">
            <v>56</v>
          </cell>
          <cell r="AF17" t="str">
            <v xml:space="preserve"> 普 通 工</v>
          </cell>
          <cell r="AG17">
            <v>0</v>
          </cell>
          <cell r="AH17" t="str">
            <v>工</v>
          </cell>
          <cell r="AI17">
            <v>0.85</v>
          </cell>
          <cell r="AJ17">
            <v>530</v>
          </cell>
          <cell r="AK17">
            <v>450.5</v>
          </cell>
          <cell r="AM17" t="str">
            <v xml:space="preserve"> 水  泥</v>
          </cell>
          <cell r="AO17" t="str">
            <v>包</v>
          </cell>
          <cell r="AP17">
            <v>9.5</v>
          </cell>
          <cell r="AS17" t="str">
            <v>另計</v>
          </cell>
          <cell r="AT17" t="str">
            <v xml:space="preserve"> 機 具 費</v>
          </cell>
          <cell r="AU17" t="str">
            <v>約燃料費10倍</v>
          </cell>
          <cell r="AV17" t="str">
            <v>式</v>
          </cell>
          <cell r="AW17">
            <v>1</v>
          </cell>
        </row>
        <row r="18">
          <cell r="A18" t="str">
            <v>a56</v>
          </cell>
          <cell r="B18" t="str">
            <v xml:space="preserve"> 機拌 210kg/c㎡混凝土</v>
          </cell>
          <cell r="C18" t="str">
            <v></v>
          </cell>
          <cell r="D18" t="str">
            <v xml:space="preserve"> 淨  砂</v>
          </cell>
          <cell r="E18">
            <v>0</v>
          </cell>
          <cell r="F18" t="str">
            <v></v>
          </cell>
          <cell r="G18">
            <v>0.43</v>
          </cell>
          <cell r="I18">
            <v>0</v>
          </cell>
          <cell r="K18" t="str">
            <v xml:space="preserve"> 洗 石 子</v>
          </cell>
          <cell r="L18">
            <v>0</v>
          </cell>
          <cell r="M18" t="str">
            <v></v>
          </cell>
          <cell r="N18">
            <v>0.86</v>
          </cell>
          <cell r="P18">
            <v>0</v>
          </cell>
          <cell r="R18" t="str">
            <v xml:space="preserve"> 柴  油</v>
          </cell>
          <cell r="T18" t="str">
            <v>公升</v>
          </cell>
          <cell r="U18">
            <v>0.6</v>
          </cell>
          <cell r="V18">
            <v>12.1</v>
          </cell>
          <cell r="W18">
            <v>7.26</v>
          </cell>
          <cell r="Y18" t="str">
            <v xml:space="preserve"> 一般技工</v>
          </cell>
          <cell r="Z18">
            <v>0</v>
          </cell>
          <cell r="AA18" t="str">
            <v>工</v>
          </cell>
          <cell r="AB18">
            <v>0.1</v>
          </cell>
          <cell r="AC18">
            <v>720</v>
          </cell>
          <cell r="AD18">
            <v>72</v>
          </cell>
          <cell r="AF18" t="str">
            <v xml:space="preserve"> 普 通 工</v>
          </cell>
          <cell r="AG18">
            <v>0</v>
          </cell>
          <cell r="AH18" t="str">
            <v>工</v>
          </cell>
          <cell r="AI18">
            <v>0.7</v>
          </cell>
          <cell r="AJ18">
            <v>530</v>
          </cell>
          <cell r="AK18">
            <v>371</v>
          </cell>
          <cell r="AM18" t="str">
            <v xml:space="preserve"> 水  泥</v>
          </cell>
          <cell r="AO18" t="str">
            <v>包</v>
          </cell>
          <cell r="AP18">
            <v>6.4</v>
          </cell>
          <cell r="AS18" t="str">
            <v>另計</v>
          </cell>
          <cell r="AT18" t="str">
            <v xml:space="preserve"> 機 具 費</v>
          </cell>
          <cell r="AU18" t="str">
            <v>約燃料費10倍</v>
          </cell>
          <cell r="AV18" t="str">
            <v>式</v>
          </cell>
          <cell r="AW18">
            <v>1</v>
          </cell>
        </row>
        <row r="19">
          <cell r="A19" t="str">
            <v>a57</v>
          </cell>
          <cell r="B19" t="str">
            <v xml:space="preserve"> 機拌 175kg/c㎡混凝土</v>
          </cell>
          <cell r="C19" t="str">
            <v></v>
          </cell>
          <cell r="D19" t="str">
            <v xml:space="preserve"> 淨  砂</v>
          </cell>
          <cell r="E19">
            <v>0</v>
          </cell>
          <cell r="F19" t="str">
            <v></v>
          </cell>
          <cell r="G19">
            <v>0.43</v>
          </cell>
          <cell r="I19">
            <v>0</v>
          </cell>
          <cell r="K19" t="str">
            <v xml:space="preserve"> 洗 石 子</v>
          </cell>
          <cell r="L19">
            <v>0</v>
          </cell>
          <cell r="M19" t="str">
            <v></v>
          </cell>
          <cell r="N19">
            <v>0.86</v>
          </cell>
          <cell r="P19">
            <v>0</v>
          </cell>
          <cell r="R19" t="str">
            <v xml:space="preserve"> 柴  油</v>
          </cell>
          <cell r="T19" t="str">
            <v>公升</v>
          </cell>
          <cell r="U19">
            <v>0.55000000000000004</v>
          </cell>
          <cell r="V19">
            <v>12.1</v>
          </cell>
          <cell r="W19">
            <v>6.6550000000000002</v>
          </cell>
          <cell r="Y19" t="str">
            <v xml:space="preserve"> 一般技工</v>
          </cell>
          <cell r="Z19">
            <v>0</v>
          </cell>
          <cell r="AA19" t="str">
            <v>工</v>
          </cell>
          <cell r="AB19">
            <v>0.1</v>
          </cell>
          <cell r="AC19">
            <v>720</v>
          </cell>
          <cell r="AD19">
            <v>72</v>
          </cell>
          <cell r="AF19" t="str">
            <v xml:space="preserve"> 普 通 工</v>
          </cell>
          <cell r="AG19">
            <v>0</v>
          </cell>
          <cell r="AH19" t="str">
            <v>工</v>
          </cell>
          <cell r="AI19">
            <v>0.66</v>
          </cell>
          <cell r="AJ19">
            <v>530</v>
          </cell>
          <cell r="AK19">
            <v>349.8</v>
          </cell>
          <cell r="AM19" t="str">
            <v xml:space="preserve"> 水  泥</v>
          </cell>
          <cell r="AO19" t="str">
            <v>包</v>
          </cell>
          <cell r="AP19">
            <v>5.5</v>
          </cell>
          <cell r="AS19" t="str">
            <v>另計</v>
          </cell>
          <cell r="AT19" t="str">
            <v xml:space="preserve"> 機 具 費</v>
          </cell>
          <cell r="AU19" t="str">
            <v>約燃料費10倍</v>
          </cell>
          <cell r="AV19" t="str">
            <v>式</v>
          </cell>
          <cell r="AW19">
            <v>1</v>
          </cell>
        </row>
        <row r="20">
          <cell r="A20" t="str">
            <v>a58</v>
          </cell>
          <cell r="B20" t="str">
            <v xml:space="preserve"> 機拌 140kg/c㎡混凝土</v>
          </cell>
          <cell r="C20" t="str">
            <v></v>
          </cell>
          <cell r="D20" t="str">
            <v xml:space="preserve"> 淨  砂</v>
          </cell>
          <cell r="E20">
            <v>0</v>
          </cell>
          <cell r="F20" t="str">
            <v></v>
          </cell>
          <cell r="G20">
            <v>0.45</v>
          </cell>
          <cell r="I20">
            <v>0</v>
          </cell>
          <cell r="K20" t="str">
            <v xml:space="preserve"> 洗 石 子</v>
          </cell>
          <cell r="L20">
            <v>0</v>
          </cell>
          <cell r="M20" t="str">
            <v></v>
          </cell>
          <cell r="N20">
            <v>0.9</v>
          </cell>
          <cell r="P20">
            <v>0</v>
          </cell>
          <cell r="R20" t="str">
            <v xml:space="preserve"> 柴  油</v>
          </cell>
          <cell r="T20" t="str">
            <v>公升</v>
          </cell>
          <cell r="U20">
            <v>0.5</v>
          </cell>
          <cell r="V20">
            <v>12.1</v>
          </cell>
          <cell r="W20">
            <v>6.05</v>
          </cell>
          <cell r="Y20" t="str">
            <v xml:space="preserve"> 一般技工</v>
          </cell>
          <cell r="Z20">
            <v>0</v>
          </cell>
          <cell r="AA20" t="str">
            <v>工</v>
          </cell>
          <cell r="AB20">
            <v>0.1</v>
          </cell>
          <cell r="AC20">
            <v>720</v>
          </cell>
          <cell r="AD20">
            <v>72</v>
          </cell>
          <cell r="AF20" t="str">
            <v xml:space="preserve"> 普 通 工</v>
          </cell>
          <cell r="AG20">
            <v>0</v>
          </cell>
          <cell r="AH20" t="str">
            <v>工</v>
          </cell>
          <cell r="AI20">
            <v>0.65</v>
          </cell>
          <cell r="AJ20">
            <v>530</v>
          </cell>
          <cell r="AK20">
            <v>344.5</v>
          </cell>
          <cell r="AM20" t="str">
            <v xml:space="preserve"> 水  泥</v>
          </cell>
          <cell r="AO20" t="str">
            <v>包</v>
          </cell>
          <cell r="AP20">
            <v>4.5</v>
          </cell>
          <cell r="AS20" t="str">
            <v>另計</v>
          </cell>
          <cell r="AT20" t="str">
            <v xml:space="preserve"> 機 具 費</v>
          </cell>
          <cell r="AU20" t="str">
            <v>約燃料費10倍</v>
          </cell>
          <cell r="AV20" t="str">
            <v>式</v>
          </cell>
          <cell r="AW20">
            <v>1</v>
          </cell>
        </row>
        <row r="21">
          <cell r="A21" t="str">
            <v>a59</v>
          </cell>
          <cell r="B21" t="str">
            <v xml:space="preserve"> 機拌 125kg/c㎡混凝土</v>
          </cell>
          <cell r="C21" t="str">
            <v></v>
          </cell>
          <cell r="D21" t="str">
            <v xml:space="preserve"> 淨  砂</v>
          </cell>
          <cell r="E21">
            <v>0</v>
          </cell>
          <cell r="F21" t="str">
            <v></v>
          </cell>
          <cell r="G21">
            <v>0.46</v>
          </cell>
          <cell r="I21">
            <v>0</v>
          </cell>
          <cell r="K21" t="str">
            <v xml:space="preserve"> 洗 石 子</v>
          </cell>
          <cell r="L21">
            <v>0</v>
          </cell>
          <cell r="M21" t="str">
            <v></v>
          </cell>
          <cell r="N21">
            <v>0.92</v>
          </cell>
          <cell r="P21">
            <v>0</v>
          </cell>
          <cell r="R21" t="str">
            <v xml:space="preserve"> 柴  油</v>
          </cell>
          <cell r="T21" t="str">
            <v>公升</v>
          </cell>
          <cell r="U21">
            <v>0.45</v>
          </cell>
          <cell r="V21">
            <v>12.1</v>
          </cell>
          <cell r="W21">
            <v>5.4450000000000003</v>
          </cell>
          <cell r="Y21" t="str">
            <v xml:space="preserve"> 一般技工</v>
          </cell>
          <cell r="Z21">
            <v>0</v>
          </cell>
          <cell r="AA21" t="str">
            <v>工</v>
          </cell>
          <cell r="AB21">
            <v>0.1</v>
          </cell>
          <cell r="AC21">
            <v>720</v>
          </cell>
          <cell r="AD21">
            <v>72</v>
          </cell>
          <cell r="AF21" t="str">
            <v xml:space="preserve"> 普 通 工</v>
          </cell>
          <cell r="AG21">
            <v>0</v>
          </cell>
          <cell r="AH21" t="str">
            <v>工</v>
          </cell>
          <cell r="AI21">
            <v>0.65</v>
          </cell>
          <cell r="AJ21">
            <v>530</v>
          </cell>
          <cell r="AK21">
            <v>344.5</v>
          </cell>
          <cell r="AM21" t="str">
            <v xml:space="preserve"> 水  泥</v>
          </cell>
          <cell r="AO21" t="str">
            <v>包</v>
          </cell>
          <cell r="AP21">
            <v>3.5</v>
          </cell>
          <cell r="AS21" t="str">
            <v>另計</v>
          </cell>
          <cell r="AT21" t="str">
            <v xml:space="preserve"> 機 具 費</v>
          </cell>
          <cell r="AU21" t="str">
            <v>約燃料費10倍</v>
          </cell>
          <cell r="AV21" t="str">
            <v>式</v>
          </cell>
          <cell r="AW21">
            <v>1</v>
          </cell>
        </row>
        <row r="22">
          <cell r="A22" t="str">
            <v>a62</v>
          </cell>
          <cell r="B22" t="str">
            <v xml:space="preserve"> 7:3 卵(塊)石混凝土</v>
          </cell>
          <cell r="C22" t="str">
            <v></v>
          </cell>
          <cell r="D22" t="str">
            <v xml:space="preserve"> 1:3:6 混凝土</v>
          </cell>
          <cell r="E22">
            <v>0</v>
          </cell>
          <cell r="F22" t="str">
            <v></v>
          </cell>
          <cell r="G22">
            <v>0.7</v>
          </cell>
          <cell r="I22">
            <v>0</v>
          </cell>
          <cell r="K22" t="str">
            <v xml:space="preserve"> 卵(塊)石</v>
          </cell>
          <cell r="L22" t="str">
            <v>φ10~30cm以下</v>
          </cell>
          <cell r="M22" t="str">
            <v></v>
          </cell>
          <cell r="N22">
            <v>0.5</v>
          </cell>
          <cell r="P22">
            <v>0</v>
          </cell>
          <cell r="R22" t="str">
            <v xml:space="preserve"> 普 通 工</v>
          </cell>
          <cell r="S22">
            <v>0</v>
          </cell>
          <cell r="T22" t="str">
            <v>工</v>
          </cell>
          <cell r="U22">
            <v>0.26</v>
          </cell>
          <cell r="V22">
            <v>530</v>
          </cell>
          <cell r="W22">
            <v>137.80000000000001</v>
          </cell>
          <cell r="Y22" t="str">
            <v xml:space="preserve"> 工具搬運及損耗</v>
          </cell>
          <cell r="Z22" t="str">
            <v>約勞力部份3%</v>
          </cell>
          <cell r="AA22" t="str">
            <v>式</v>
          </cell>
          <cell r="AB22">
            <v>1</v>
          </cell>
          <cell r="AD22">
            <v>0</v>
          </cell>
          <cell r="AK22">
            <v>0</v>
          </cell>
        </row>
        <row r="23">
          <cell r="A23" t="str">
            <v>a69</v>
          </cell>
          <cell r="B23" t="str">
            <v xml:space="preserve"> 粗砌塊石</v>
          </cell>
          <cell r="C23" t="str">
            <v></v>
          </cell>
          <cell r="D23" t="str">
            <v xml:space="preserve"> 塊  石</v>
          </cell>
          <cell r="E23" t="str">
            <v>φ25cm</v>
          </cell>
          <cell r="F23" t="str">
            <v></v>
          </cell>
          <cell r="G23">
            <v>0.25</v>
          </cell>
          <cell r="I23">
            <v>0</v>
          </cell>
          <cell r="K23" t="str">
            <v xml:space="preserve"> 一般技工</v>
          </cell>
          <cell r="L23">
            <v>0</v>
          </cell>
          <cell r="M23" t="str">
            <v>工</v>
          </cell>
          <cell r="N23">
            <v>0.05</v>
          </cell>
          <cell r="O23">
            <v>720</v>
          </cell>
          <cell r="P23">
            <v>36</v>
          </cell>
          <cell r="R23" t="str">
            <v xml:space="preserve"> 普 通 工</v>
          </cell>
          <cell r="S23">
            <v>0</v>
          </cell>
          <cell r="T23" t="str">
            <v>工</v>
          </cell>
          <cell r="U23">
            <v>0.08</v>
          </cell>
          <cell r="V23">
            <v>530</v>
          </cell>
          <cell r="W23">
            <v>42.4</v>
          </cell>
          <cell r="Y23" t="str">
            <v xml:space="preserve"> 工具搬運及損耗</v>
          </cell>
          <cell r="Z23" t="str">
            <v>約勞力部份2%</v>
          </cell>
          <cell r="AA23" t="str">
            <v>式</v>
          </cell>
          <cell r="AB23">
            <v>1</v>
          </cell>
          <cell r="AD23">
            <v>0</v>
          </cell>
          <cell r="AK23">
            <v>0</v>
          </cell>
        </row>
        <row r="24">
          <cell r="A24" t="str">
            <v>a70</v>
          </cell>
          <cell r="B24" t="str">
            <v xml:space="preserve"> 混凝土砌塊石 φ20cm</v>
          </cell>
          <cell r="C24" t="str">
            <v></v>
          </cell>
          <cell r="D24" t="str">
            <v xml:space="preserve"> 塊  石</v>
          </cell>
          <cell r="E24" t="str">
            <v>長徑約φ20cm</v>
          </cell>
          <cell r="F24" t="str">
            <v></v>
          </cell>
          <cell r="G24">
            <v>0.2</v>
          </cell>
          <cell r="I24">
            <v>0</v>
          </cell>
          <cell r="K24" t="str">
            <v xml:space="preserve"> 1:3:6 混凝土</v>
          </cell>
          <cell r="L24">
            <v>0</v>
          </cell>
          <cell r="M24" t="str">
            <v></v>
          </cell>
          <cell r="N24">
            <v>0.06</v>
          </cell>
          <cell r="P24">
            <v>0</v>
          </cell>
          <cell r="R24" t="str">
            <v xml:space="preserve"> 1:3 水泥砂漿</v>
          </cell>
          <cell r="S24">
            <v>0</v>
          </cell>
          <cell r="T24" t="str">
            <v></v>
          </cell>
          <cell r="U24">
            <v>0.03</v>
          </cell>
          <cell r="W24">
            <v>0</v>
          </cell>
          <cell r="Y24" t="str">
            <v xml:space="preserve"> 砌 石 工</v>
          </cell>
          <cell r="Z24">
            <v>0</v>
          </cell>
          <cell r="AA24" t="str">
            <v>工</v>
          </cell>
          <cell r="AB24">
            <v>0.06</v>
          </cell>
          <cell r="AC24">
            <v>720</v>
          </cell>
          <cell r="AD24">
            <v>43.199999999999996</v>
          </cell>
          <cell r="AF24" t="str">
            <v xml:space="preserve"> 普 通 工</v>
          </cell>
          <cell r="AG24">
            <v>0</v>
          </cell>
          <cell r="AH24" t="str">
            <v>工</v>
          </cell>
          <cell r="AI24">
            <v>0.12</v>
          </cell>
          <cell r="AJ24">
            <v>530</v>
          </cell>
          <cell r="AK24">
            <v>63.599999999999994</v>
          </cell>
          <cell r="AM24" t="str">
            <v xml:space="preserve"> 工具搬運及損耗</v>
          </cell>
          <cell r="AN24" t="str">
            <v>約勞力部份2%</v>
          </cell>
          <cell r="AO24" t="str">
            <v>式</v>
          </cell>
          <cell r="AP24">
            <v>1</v>
          </cell>
        </row>
        <row r="25">
          <cell r="A25" t="str">
            <v>a71</v>
          </cell>
          <cell r="B25" t="str">
            <v xml:space="preserve"> 混凝土砌塊石 φ25cm</v>
          </cell>
          <cell r="C25" t="str">
            <v></v>
          </cell>
          <cell r="D25" t="str">
            <v xml:space="preserve"> 塊  石</v>
          </cell>
          <cell r="E25" t="str">
            <v>長徑約φ25cm</v>
          </cell>
          <cell r="F25" t="str">
            <v></v>
          </cell>
          <cell r="G25">
            <v>0.25</v>
          </cell>
          <cell r="I25">
            <v>0</v>
          </cell>
          <cell r="K25" t="str">
            <v xml:space="preserve"> 1:3:6 混凝土</v>
          </cell>
          <cell r="L25">
            <v>0</v>
          </cell>
          <cell r="M25" t="str">
            <v></v>
          </cell>
          <cell r="N25">
            <v>0.06</v>
          </cell>
          <cell r="P25">
            <v>0</v>
          </cell>
          <cell r="R25" t="str">
            <v xml:space="preserve"> 1:3 水泥砂漿</v>
          </cell>
          <cell r="S25">
            <v>0</v>
          </cell>
          <cell r="T25" t="str">
            <v></v>
          </cell>
          <cell r="U25">
            <v>0.03</v>
          </cell>
          <cell r="W25">
            <v>0</v>
          </cell>
          <cell r="Y25" t="str">
            <v xml:space="preserve"> 一般技工</v>
          </cell>
          <cell r="Z25">
            <v>0</v>
          </cell>
          <cell r="AA25" t="str">
            <v>工</v>
          </cell>
          <cell r="AB25">
            <v>0.06</v>
          </cell>
          <cell r="AC25">
            <v>720</v>
          </cell>
          <cell r="AD25">
            <v>43.199999999999996</v>
          </cell>
          <cell r="AF25" t="str">
            <v xml:space="preserve"> 普 通 工</v>
          </cell>
          <cell r="AG25">
            <v>0</v>
          </cell>
          <cell r="AH25" t="str">
            <v>工</v>
          </cell>
          <cell r="AI25">
            <v>0.13</v>
          </cell>
          <cell r="AJ25">
            <v>530</v>
          </cell>
          <cell r="AK25">
            <v>68.900000000000006</v>
          </cell>
          <cell r="AM25" t="str">
            <v xml:space="preserve"> 工具搬運及損耗</v>
          </cell>
          <cell r="AN25" t="str">
            <v>約勞力部份2%</v>
          </cell>
          <cell r="AO25" t="str">
            <v>式</v>
          </cell>
          <cell r="AP25">
            <v>1</v>
          </cell>
        </row>
        <row r="26">
          <cell r="A26" t="str">
            <v>a72</v>
          </cell>
          <cell r="B26" t="str">
            <v xml:space="preserve"> 混凝土砌塊石 φ30cm</v>
          </cell>
          <cell r="C26" t="str">
            <v></v>
          </cell>
          <cell r="D26" t="str">
            <v xml:space="preserve"> 塊  石</v>
          </cell>
          <cell r="E26" t="str">
            <v>長徑約φ30cm</v>
          </cell>
          <cell r="F26" t="str">
            <v></v>
          </cell>
          <cell r="G26">
            <v>0.3</v>
          </cell>
          <cell r="I26">
            <v>0</v>
          </cell>
          <cell r="K26" t="str">
            <v xml:space="preserve"> 1:3:6 混凝土</v>
          </cell>
          <cell r="L26">
            <v>0</v>
          </cell>
          <cell r="M26" t="str">
            <v></v>
          </cell>
          <cell r="N26">
            <v>7.0000000000000007E-2</v>
          </cell>
          <cell r="P26">
            <v>0</v>
          </cell>
          <cell r="R26" t="str">
            <v xml:space="preserve"> 1:3 水泥砂漿</v>
          </cell>
          <cell r="S26">
            <v>0</v>
          </cell>
          <cell r="T26" t="str">
            <v></v>
          </cell>
          <cell r="U26">
            <v>0.03</v>
          </cell>
          <cell r="W26">
            <v>0</v>
          </cell>
          <cell r="Y26" t="str">
            <v xml:space="preserve"> 一般技工</v>
          </cell>
          <cell r="Z26">
            <v>0</v>
          </cell>
          <cell r="AA26" t="str">
            <v>工</v>
          </cell>
          <cell r="AB26">
            <v>0.06</v>
          </cell>
          <cell r="AC26">
            <v>720</v>
          </cell>
          <cell r="AD26">
            <v>43.199999999999996</v>
          </cell>
          <cell r="AF26" t="str">
            <v xml:space="preserve"> 普 通 工</v>
          </cell>
          <cell r="AG26">
            <v>0</v>
          </cell>
          <cell r="AH26" t="str">
            <v>工</v>
          </cell>
          <cell r="AI26">
            <v>0.14000000000000001</v>
          </cell>
          <cell r="AJ26">
            <v>530</v>
          </cell>
          <cell r="AK26">
            <v>74.2</v>
          </cell>
          <cell r="AM26" t="str">
            <v xml:space="preserve"> 工具搬運及損耗</v>
          </cell>
          <cell r="AN26" t="str">
            <v>約勞力部份2%</v>
          </cell>
          <cell r="AO26" t="str">
            <v>式</v>
          </cell>
          <cell r="AP26">
            <v>1</v>
          </cell>
        </row>
        <row r="27">
          <cell r="A27" t="str">
            <v>a73</v>
          </cell>
          <cell r="B27" t="str">
            <v xml:space="preserve"> 混凝土砌角石 25x25x30cm</v>
          </cell>
          <cell r="C27" t="str">
            <v></v>
          </cell>
          <cell r="D27" t="str">
            <v xml:space="preserve"> 角  石</v>
          </cell>
          <cell r="E27" t="str">
            <v>25x25x30cm</v>
          </cell>
          <cell r="F27" t="str">
            <v>塊</v>
          </cell>
          <cell r="G27">
            <v>12.8</v>
          </cell>
          <cell r="I27">
            <v>0</v>
          </cell>
          <cell r="K27" t="str">
            <v xml:space="preserve"> 1:3:6 混凝土</v>
          </cell>
          <cell r="L27">
            <v>0</v>
          </cell>
          <cell r="M27" t="str">
            <v></v>
          </cell>
          <cell r="N27">
            <v>0.06</v>
          </cell>
          <cell r="P27">
            <v>0</v>
          </cell>
          <cell r="R27" t="str">
            <v xml:space="preserve"> 1:3 水泥砂漿</v>
          </cell>
          <cell r="S27">
            <v>0</v>
          </cell>
          <cell r="T27" t="str">
            <v></v>
          </cell>
          <cell r="U27">
            <v>7.0000000000000001E-3</v>
          </cell>
          <cell r="W27">
            <v>0</v>
          </cell>
          <cell r="Y27" t="str">
            <v xml:space="preserve"> 一般技工</v>
          </cell>
          <cell r="Z27">
            <v>0</v>
          </cell>
          <cell r="AA27" t="str">
            <v>工</v>
          </cell>
          <cell r="AB27">
            <v>0.12</v>
          </cell>
          <cell r="AC27">
            <v>720</v>
          </cell>
          <cell r="AD27">
            <v>86.399999999999991</v>
          </cell>
          <cell r="AF27" t="str">
            <v xml:space="preserve"> 普 通 工</v>
          </cell>
          <cell r="AG27">
            <v>0</v>
          </cell>
          <cell r="AH27" t="str">
            <v>工</v>
          </cell>
          <cell r="AI27">
            <v>0.25</v>
          </cell>
          <cell r="AJ27">
            <v>530</v>
          </cell>
          <cell r="AK27">
            <v>132.5</v>
          </cell>
          <cell r="AM27" t="str">
            <v xml:space="preserve"> 工具搬運及損耗</v>
          </cell>
          <cell r="AN27" t="str">
            <v>約勞力部份3%</v>
          </cell>
          <cell r="AO27" t="str">
            <v>式</v>
          </cell>
          <cell r="AP27">
            <v>1</v>
          </cell>
        </row>
        <row r="28">
          <cell r="A28" t="str">
            <v>a74</v>
          </cell>
          <cell r="B28" t="str">
            <v xml:space="preserve"> 背填卵石</v>
          </cell>
          <cell r="C28" t="str">
            <v></v>
          </cell>
          <cell r="D28" t="str">
            <v xml:space="preserve"> 卵  石</v>
          </cell>
          <cell r="F28" t="str">
            <v></v>
          </cell>
          <cell r="G28">
            <v>1</v>
          </cell>
          <cell r="I28">
            <v>0</v>
          </cell>
          <cell r="K28" t="str">
            <v xml:space="preserve"> 普 通 工</v>
          </cell>
          <cell r="L28">
            <v>0</v>
          </cell>
          <cell r="M28" t="str">
            <v>工</v>
          </cell>
          <cell r="N28">
            <v>0.2</v>
          </cell>
          <cell r="O28">
            <v>530</v>
          </cell>
          <cell r="P28">
            <v>106</v>
          </cell>
          <cell r="R28" t="str">
            <v xml:space="preserve"> 工具搬運及損耗</v>
          </cell>
          <cell r="S28" t="str">
            <v>約勞力部份2%</v>
          </cell>
          <cell r="T28" t="str">
            <v>式</v>
          </cell>
          <cell r="U28">
            <v>1</v>
          </cell>
          <cell r="W28">
            <v>0</v>
          </cell>
          <cell r="AD28">
            <v>0</v>
          </cell>
          <cell r="AK28">
            <v>0</v>
          </cell>
        </row>
        <row r="29">
          <cell r="A29" t="str">
            <v>a75</v>
          </cell>
          <cell r="B29" t="str">
            <v xml:space="preserve"> 混凝土砌割石 ( 石面 0.04㎡ )</v>
          </cell>
          <cell r="C29" t="str">
            <v></v>
          </cell>
          <cell r="D29" t="str">
            <v xml:space="preserve"> 割  石</v>
          </cell>
          <cell r="E29" t="str">
            <v>φ30cm</v>
          </cell>
          <cell r="F29" t="str">
            <v></v>
          </cell>
          <cell r="G29">
            <v>0.3</v>
          </cell>
          <cell r="I29">
            <v>0</v>
          </cell>
          <cell r="K29" t="str">
            <v xml:space="preserve"> 1:3:6 混凝土</v>
          </cell>
          <cell r="L29">
            <v>0</v>
          </cell>
          <cell r="M29" t="str">
            <v></v>
          </cell>
          <cell r="N29">
            <v>0.06</v>
          </cell>
          <cell r="P29">
            <v>0</v>
          </cell>
          <cell r="R29" t="str">
            <v xml:space="preserve"> 1:3 水泥砂漿</v>
          </cell>
          <cell r="S29">
            <v>0</v>
          </cell>
          <cell r="T29" t="str">
            <v></v>
          </cell>
          <cell r="U29">
            <v>7.0000000000000001E-3</v>
          </cell>
          <cell r="W29">
            <v>0</v>
          </cell>
          <cell r="Y29" t="str">
            <v xml:space="preserve"> 一般技工</v>
          </cell>
          <cell r="Z29">
            <v>0</v>
          </cell>
          <cell r="AA29" t="str">
            <v>工</v>
          </cell>
          <cell r="AB29">
            <v>0.1</v>
          </cell>
          <cell r="AC29">
            <v>720</v>
          </cell>
          <cell r="AD29">
            <v>72</v>
          </cell>
          <cell r="AF29" t="str">
            <v xml:space="preserve"> 普 通 工</v>
          </cell>
          <cell r="AG29">
            <v>0</v>
          </cell>
          <cell r="AH29" t="str">
            <v>工</v>
          </cell>
          <cell r="AI29">
            <v>0.24</v>
          </cell>
          <cell r="AJ29">
            <v>530</v>
          </cell>
          <cell r="AK29">
            <v>127.19999999999999</v>
          </cell>
          <cell r="AM29" t="str">
            <v xml:space="preserve"> 工具搬運及損耗</v>
          </cell>
          <cell r="AN29" t="str">
            <v>約勞力部份3%</v>
          </cell>
          <cell r="AO29" t="str">
            <v>式</v>
          </cell>
          <cell r="AP29">
            <v>1</v>
          </cell>
        </row>
        <row r="30">
          <cell r="A30" t="str">
            <v>a78</v>
          </cell>
          <cell r="B30" t="str">
            <v xml:space="preserve"> 乾砌塊石(φ30cm)</v>
          </cell>
          <cell r="C30" t="str">
            <v></v>
          </cell>
          <cell r="D30" t="str">
            <v xml:space="preserve"> 塊  石</v>
          </cell>
          <cell r="E30" t="str">
            <v>長徑約φ30cm</v>
          </cell>
          <cell r="F30" t="str">
            <v></v>
          </cell>
          <cell r="G30">
            <v>0.3</v>
          </cell>
          <cell r="I30">
            <v>0</v>
          </cell>
          <cell r="K30" t="str">
            <v xml:space="preserve"> 填隙石子</v>
          </cell>
          <cell r="M30" t="str">
            <v></v>
          </cell>
          <cell r="N30">
            <v>7.0000000000000007E-2</v>
          </cell>
          <cell r="R30" t="str">
            <v xml:space="preserve"> 一般技工</v>
          </cell>
          <cell r="S30">
            <v>0</v>
          </cell>
          <cell r="T30" t="str">
            <v>工</v>
          </cell>
          <cell r="U30">
            <v>7.0000000000000007E-2</v>
          </cell>
          <cell r="V30">
            <v>720</v>
          </cell>
          <cell r="W30">
            <v>50.400000000000006</v>
          </cell>
          <cell r="Y30" t="str">
            <v xml:space="preserve"> 普 通 工</v>
          </cell>
          <cell r="Z30">
            <v>0</v>
          </cell>
          <cell r="AA30" t="str">
            <v>工</v>
          </cell>
          <cell r="AB30">
            <v>0.11</v>
          </cell>
          <cell r="AC30">
            <v>530</v>
          </cell>
          <cell r="AD30">
            <v>58.3</v>
          </cell>
          <cell r="AF30" t="str">
            <v xml:space="preserve"> 工具搬運及損耗</v>
          </cell>
          <cell r="AG30" t="str">
            <v>約工資部份2%</v>
          </cell>
          <cell r="AH30" t="str">
            <v>式</v>
          </cell>
          <cell r="AI30">
            <v>1</v>
          </cell>
          <cell r="AK30">
            <v>0</v>
          </cell>
        </row>
        <row r="31">
          <cell r="A31" t="str">
            <v>a79</v>
          </cell>
          <cell r="B31" t="str">
            <v xml:space="preserve"> 排 塊 石</v>
          </cell>
          <cell r="C31" t="str">
            <v></v>
          </cell>
          <cell r="D31" t="str">
            <v xml:space="preserve"> 塊  石</v>
          </cell>
          <cell r="E31" t="str">
            <v>長徑約φ20cm</v>
          </cell>
          <cell r="F31" t="str">
            <v></v>
          </cell>
          <cell r="G31">
            <v>0.2</v>
          </cell>
          <cell r="I31">
            <v>0</v>
          </cell>
          <cell r="K31" t="str">
            <v xml:space="preserve"> 填隙石子</v>
          </cell>
          <cell r="M31" t="str">
            <v></v>
          </cell>
          <cell r="N31">
            <v>0.06</v>
          </cell>
          <cell r="R31" t="str">
            <v xml:space="preserve"> 一般技工</v>
          </cell>
          <cell r="S31">
            <v>0</v>
          </cell>
          <cell r="T31" t="str">
            <v>工</v>
          </cell>
          <cell r="U31">
            <v>0.05</v>
          </cell>
          <cell r="V31">
            <v>720</v>
          </cell>
          <cell r="W31">
            <v>36</v>
          </cell>
          <cell r="Y31" t="str">
            <v xml:space="preserve"> 普 通 工</v>
          </cell>
          <cell r="Z31">
            <v>0</v>
          </cell>
          <cell r="AA31" t="str">
            <v>工</v>
          </cell>
          <cell r="AB31">
            <v>0.08</v>
          </cell>
          <cell r="AC31">
            <v>530</v>
          </cell>
          <cell r="AD31">
            <v>42.4</v>
          </cell>
          <cell r="AF31" t="str">
            <v xml:space="preserve"> 工具搬運及損耗</v>
          </cell>
          <cell r="AG31" t="str">
            <v>約工資部份2%</v>
          </cell>
          <cell r="AH31" t="str">
            <v>式</v>
          </cell>
          <cell r="AI31">
            <v>1</v>
          </cell>
          <cell r="AK31">
            <v>0</v>
          </cell>
        </row>
        <row r="32">
          <cell r="A32" t="str">
            <v>a81</v>
          </cell>
          <cell r="B32" t="str">
            <v xml:space="preserve"> 乾砌大塊石擋土牆</v>
          </cell>
          <cell r="C32" t="str">
            <v></v>
          </cell>
          <cell r="D32" t="str">
            <v xml:space="preserve"> 塊  石</v>
          </cell>
          <cell r="E32" t="str">
            <v>長徑50cm以上</v>
          </cell>
          <cell r="F32" t="str">
            <v></v>
          </cell>
          <cell r="I32">
            <v>0</v>
          </cell>
          <cell r="K32" t="str">
            <v xml:space="preserve"> 特種技工</v>
          </cell>
          <cell r="L32">
            <v>0</v>
          </cell>
          <cell r="M32" t="str">
            <v>工</v>
          </cell>
          <cell r="N32">
            <v>0.08</v>
          </cell>
          <cell r="O32">
            <v>800</v>
          </cell>
          <cell r="P32">
            <v>64</v>
          </cell>
          <cell r="R32" t="str">
            <v xml:space="preserve"> 普 通 工</v>
          </cell>
          <cell r="S32">
            <v>0</v>
          </cell>
          <cell r="T32" t="str">
            <v>工</v>
          </cell>
          <cell r="U32">
            <v>0.08</v>
          </cell>
          <cell r="V32">
            <v>530</v>
          </cell>
          <cell r="W32">
            <v>42.4</v>
          </cell>
          <cell r="Y32" t="str">
            <v xml:space="preserve"> 挖 土 機</v>
          </cell>
          <cell r="AA32" t="str">
            <v>時</v>
          </cell>
          <cell r="AB32">
            <v>0.2</v>
          </cell>
          <cell r="AC32">
            <v>900</v>
          </cell>
          <cell r="AD32">
            <v>180</v>
          </cell>
          <cell r="AF32" t="str">
            <v xml:space="preserve"> 工具搬運及損耗</v>
          </cell>
          <cell r="AG32" t="str">
            <v>約工資部份3%</v>
          </cell>
          <cell r="AH32" t="str">
            <v>式</v>
          </cell>
          <cell r="AI32">
            <v>1</v>
          </cell>
        </row>
        <row r="33">
          <cell r="A33" t="str">
            <v>a82</v>
          </cell>
          <cell r="B33" t="str">
            <v xml:space="preserve"> 基礎模板製作及裝拆</v>
          </cell>
          <cell r="C33" t="str">
            <v></v>
          </cell>
          <cell r="D33" t="str">
            <v xml:space="preserve"> 板  料</v>
          </cell>
          <cell r="E33" t="str">
            <v>採八次計價</v>
          </cell>
          <cell r="F33" t="str">
            <v></v>
          </cell>
          <cell r="G33">
            <v>1.7999999999999999E-2</v>
          </cell>
          <cell r="H33">
            <v>1600</v>
          </cell>
          <cell r="I33">
            <v>28.799999999999997</v>
          </cell>
          <cell r="K33" t="str">
            <v xml:space="preserve"> 木  料(角材)</v>
          </cell>
          <cell r="L33" t="str">
            <v>採十次計價</v>
          </cell>
          <cell r="M33" t="str">
            <v></v>
          </cell>
          <cell r="N33">
            <v>1.4999999999999999E-2</v>
          </cell>
          <cell r="O33">
            <v>1200</v>
          </cell>
          <cell r="P33">
            <v>18</v>
          </cell>
          <cell r="R33" t="str">
            <v xml:space="preserve"> 圓  木(支撐)</v>
          </cell>
          <cell r="S33" t="str">
            <v>採十次計價</v>
          </cell>
          <cell r="T33" t="str">
            <v></v>
          </cell>
          <cell r="U33">
            <v>1.4999999999999999E-2</v>
          </cell>
          <cell r="V33">
            <v>900</v>
          </cell>
          <cell r="W33">
            <v>13.5</v>
          </cell>
          <cell r="Y33" t="str">
            <v xml:space="preserve"> 鐵  件</v>
          </cell>
          <cell r="Z33">
            <v>0</v>
          </cell>
          <cell r="AA33" t="str">
            <v>kg</v>
          </cell>
          <cell r="AB33">
            <v>0.5</v>
          </cell>
          <cell r="AC33">
            <v>20</v>
          </cell>
          <cell r="AD33">
            <v>10</v>
          </cell>
          <cell r="AF33" t="str">
            <v xml:space="preserve"> 一般技工</v>
          </cell>
          <cell r="AG33">
            <v>0</v>
          </cell>
          <cell r="AH33" t="str">
            <v>工</v>
          </cell>
          <cell r="AI33">
            <v>0.16</v>
          </cell>
          <cell r="AJ33">
            <v>720</v>
          </cell>
          <cell r="AK33">
            <v>115.2</v>
          </cell>
          <cell r="AM33" t="str">
            <v xml:space="preserve"> 普 通 工</v>
          </cell>
          <cell r="AN33">
            <v>0</v>
          </cell>
          <cell r="AO33" t="str">
            <v>工</v>
          </cell>
          <cell r="AP33">
            <v>0.03</v>
          </cell>
          <cell r="AQ33">
            <v>530</v>
          </cell>
          <cell r="AR33">
            <v>15.899999999999999</v>
          </cell>
          <cell r="AT33" t="str">
            <v xml:space="preserve"> 工具損耗及其他</v>
          </cell>
          <cell r="AU33" t="str">
            <v>約勞力部份2%</v>
          </cell>
          <cell r="AV33" t="str">
            <v>式</v>
          </cell>
          <cell r="AW33">
            <v>1</v>
          </cell>
        </row>
        <row r="34">
          <cell r="A34" t="str">
            <v>a83</v>
          </cell>
          <cell r="B34" t="str">
            <v xml:space="preserve"> 軀體模板製作及裝拆</v>
          </cell>
          <cell r="C34" t="str">
            <v></v>
          </cell>
          <cell r="D34" t="str">
            <v xml:space="preserve"> 板  料</v>
          </cell>
          <cell r="E34" t="str">
            <v>採八次計價</v>
          </cell>
          <cell r="F34" t="str">
            <v></v>
          </cell>
          <cell r="G34">
            <v>2.1000000000000001E-2</v>
          </cell>
          <cell r="H34">
            <v>1600</v>
          </cell>
          <cell r="I34">
            <v>33.6</v>
          </cell>
          <cell r="K34" t="str">
            <v xml:space="preserve"> 木  料(角材)</v>
          </cell>
          <cell r="L34" t="str">
            <v>採十次計價</v>
          </cell>
          <cell r="M34" t="str">
            <v></v>
          </cell>
          <cell r="N34">
            <v>0.03</v>
          </cell>
          <cell r="O34">
            <v>1200</v>
          </cell>
          <cell r="P34">
            <v>36</v>
          </cell>
          <cell r="R34" t="str">
            <v xml:space="preserve"> 圓  木(支撐)</v>
          </cell>
          <cell r="S34" t="str">
            <v>採十次計價</v>
          </cell>
          <cell r="T34" t="str">
            <v></v>
          </cell>
          <cell r="U34">
            <v>2.5000000000000001E-2</v>
          </cell>
          <cell r="V34">
            <v>900</v>
          </cell>
          <cell r="W34">
            <v>22.5</v>
          </cell>
          <cell r="Y34" t="str">
            <v xml:space="preserve"> 鐵  件</v>
          </cell>
          <cell r="Z34">
            <v>0</v>
          </cell>
          <cell r="AA34" t="str">
            <v>kg</v>
          </cell>
          <cell r="AB34">
            <v>0.6</v>
          </cell>
          <cell r="AC34">
            <v>20</v>
          </cell>
          <cell r="AD34">
            <v>12</v>
          </cell>
          <cell r="AF34" t="str">
            <v xml:space="preserve"> 一般技工</v>
          </cell>
          <cell r="AG34">
            <v>0</v>
          </cell>
          <cell r="AH34" t="str">
            <v>工</v>
          </cell>
          <cell r="AI34">
            <v>0.215</v>
          </cell>
          <cell r="AJ34">
            <v>720</v>
          </cell>
          <cell r="AK34">
            <v>154.80000000000001</v>
          </cell>
          <cell r="AM34" t="str">
            <v xml:space="preserve"> 普 通 工</v>
          </cell>
          <cell r="AN34">
            <v>0</v>
          </cell>
          <cell r="AO34" t="str">
            <v>工</v>
          </cell>
          <cell r="AP34">
            <v>4.4999999999999998E-2</v>
          </cell>
          <cell r="AQ34">
            <v>530</v>
          </cell>
          <cell r="AR34">
            <v>23.849999999999998</v>
          </cell>
          <cell r="AT34" t="str">
            <v xml:space="preserve"> 防水三夾板</v>
          </cell>
          <cell r="AU34" t="str">
            <v>3mm</v>
          </cell>
          <cell r="AV34" t="str">
            <v></v>
          </cell>
          <cell r="AW34">
            <v>1</v>
          </cell>
          <cell r="AX34">
            <v>30</v>
          </cell>
          <cell r="AZ34" t="str">
            <v>使用3次</v>
          </cell>
          <cell r="BA34" t="str">
            <v xml:space="preserve"> 工具損耗及其他</v>
          </cell>
          <cell r="BB34" t="str">
            <v>約勞力部份2%</v>
          </cell>
          <cell r="BC34" t="str">
            <v>式</v>
          </cell>
          <cell r="BD34">
            <v>1</v>
          </cell>
          <cell r="BE34">
            <v>0</v>
          </cell>
        </row>
        <row r="35">
          <cell r="A35" t="str">
            <v>a84</v>
          </cell>
          <cell r="B35" t="str">
            <v xml:space="preserve"> 結構模板製作及裝拆</v>
          </cell>
          <cell r="C35" t="str">
            <v></v>
          </cell>
          <cell r="D35" t="str">
            <v xml:space="preserve"> 板  料</v>
          </cell>
          <cell r="E35" t="str">
            <v>採八次計價</v>
          </cell>
          <cell r="F35" t="str">
            <v></v>
          </cell>
          <cell r="G35">
            <v>2.4E-2</v>
          </cell>
          <cell r="H35">
            <v>1600</v>
          </cell>
          <cell r="I35">
            <v>38.4</v>
          </cell>
          <cell r="K35" t="str">
            <v xml:space="preserve"> 木  料(角材)</v>
          </cell>
          <cell r="L35" t="str">
            <v>採十次計價</v>
          </cell>
          <cell r="M35" t="str">
            <v></v>
          </cell>
          <cell r="N35">
            <v>4.4999999999999998E-2</v>
          </cell>
          <cell r="O35">
            <v>1200</v>
          </cell>
          <cell r="P35">
            <v>54</v>
          </cell>
          <cell r="R35" t="str">
            <v xml:space="preserve"> 圓  木(支撐)</v>
          </cell>
          <cell r="S35" t="str">
            <v>採十次計價</v>
          </cell>
          <cell r="T35" t="str">
            <v></v>
          </cell>
          <cell r="U35">
            <v>1.4999999999999999E-2</v>
          </cell>
          <cell r="V35">
            <v>900</v>
          </cell>
          <cell r="W35">
            <v>13.5</v>
          </cell>
          <cell r="Y35" t="str">
            <v xml:space="preserve"> 鐵  件</v>
          </cell>
          <cell r="Z35">
            <v>0</v>
          </cell>
          <cell r="AA35" t="str">
            <v>kg</v>
          </cell>
          <cell r="AB35">
            <v>0.6</v>
          </cell>
          <cell r="AC35">
            <v>20</v>
          </cell>
          <cell r="AD35">
            <v>12</v>
          </cell>
          <cell r="AF35" t="str">
            <v xml:space="preserve"> 一般技工</v>
          </cell>
          <cell r="AG35">
            <v>0</v>
          </cell>
          <cell r="AH35" t="str">
            <v>工</v>
          </cell>
          <cell r="AI35">
            <v>0.28000000000000003</v>
          </cell>
          <cell r="AJ35">
            <v>720</v>
          </cell>
          <cell r="AK35">
            <v>201.60000000000002</v>
          </cell>
          <cell r="AM35" t="str">
            <v xml:space="preserve"> 普 通 工</v>
          </cell>
          <cell r="AN35">
            <v>0</v>
          </cell>
          <cell r="AO35" t="str">
            <v>工</v>
          </cell>
          <cell r="AP35">
            <v>0.06</v>
          </cell>
          <cell r="AQ35">
            <v>530</v>
          </cell>
          <cell r="AR35">
            <v>31.799999999999997</v>
          </cell>
          <cell r="AT35" t="str">
            <v xml:space="preserve"> 防水三夾板</v>
          </cell>
          <cell r="AU35" t="str">
            <v>3mm</v>
          </cell>
          <cell r="AV35" t="str">
            <v></v>
          </cell>
          <cell r="AW35">
            <v>1</v>
          </cell>
          <cell r="AX35">
            <v>30</v>
          </cell>
          <cell r="AZ35" t="str">
            <v>使用3次</v>
          </cell>
          <cell r="BA35" t="str">
            <v xml:space="preserve"> 工具損耗及其他</v>
          </cell>
          <cell r="BB35" t="str">
            <v>約勞力部份2%</v>
          </cell>
          <cell r="BC35" t="str">
            <v>式</v>
          </cell>
          <cell r="BD35">
            <v>1</v>
          </cell>
          <cell r="BE35">
            <v>0</v>
          </cell>
        </row>
        <row r="36">
          <cell r="A36" t="str">
            <v>a86</v>
          </cell>
          <cell r="B36" t="str">
            <v xml:space="preserve"> 軀體鋼模製作及裝拆</v>
          </cell>
          <cell r="C36" t="str">
            <v></v>
          </cell>
          <cell r="D36" t="str">
            <v xml:space="preserve"> 鋼鈑材料費</v>
          </cell>
          <cell r="E36" t="str">
            <v>3mm厚</v>
          </cell>
          <cell r="F36" t="str">
            <v>kg</v>
          </cell>
          <cell r="G36">
            <v>26</v>
          </cell>
          <cell r="K36" t="str">
            <v xml:space="preserve"> 角鋼材料費</v>
          </cell>
          <cell r="M36" t="str">
            <v>kg</v>
          </cell>
          <cell r="N36">
            <v>46</v>
          </cell>
          <cell r="R36" t="str">
            <v xml:space="preserve"> 鋼模製作費</v>
          </cell>
          <cell r="S36" t="str">
            <v>材料費50%</v>
          </cell>
          <cell r="T36" t="str">
            <v>式</v>
          </cell>
          <cell r="U36">
            <v>1</v>
          </cell>
          <cell r="Y36" t="str">
            <v xml:space="preserve"> 吊  車</v>
          </cell>
          <cell r="Z36" t="str">
            <v>20~35t級</v>
          </cell>
          <cell r="AA36" t="str">
            <v>時</v>
          </cell>
          <cell r="AB36">
            <v>0.06</v>
          </cell>
          <cell r="AF36" t="str">
            <v xml:space="preserve"> 扣  件</v>
          </cell>
          <cell r="AG36" t="str">
            <v>使用5次計</v>
          </cell>
          <cell r="AH36" t="str">
            <v>kg</v>
          </cell>
          <cell r="AI36">
            <v>5</v>
          </cell>
          <cell r="AM36" t="str">
            <v xml:space="preserve"> 其  它</v>
          </cell>
          <cell r="AN36" t="str">
            <v>材料費50%</v>
          </cell>
          <cell r="AO36" t="str">
            <v>式</v>
          </cell>
          <cell r="AP36">
            <v>1</v>
          </cell>
          <cell r="AT36" t="str">
            <v xml:space="preserve"> 一般技工</v>
          </cell>
          <cell r="AU36">
            <v>0</v>
          </cell>
          <cell r="AV36" t="str">
            <v>工</v>
          </cell>
          <cell r="AW36">
            <v>0.08</v>
          </cell>
          <cell r="AX36">
            <v>720</v>
          </cell>
          <cell r="AY36">
            <v>57.6</v>
          </cell>
          <cell r="BA36" t="str">
            <v xml:space="preserve"> 普 通 工</v>
          </cell>
          <cell r="BB36">
            <v>0</v>
          </cell>
          <cell r="BC36" t="str">
            <v>工</v>
          </cell>
          <cell r="BD36">
            <v>0.04</v>
          </cell>
          <cell r="BE36">
            <v>530</v>
          </cell>
          <cell r="BF36">
            <v>21.2</v>
          </cell>
          <cell r="BH36" t="str">
            <v xml:space="preserve"> 工具搬運及損耗</v>
          </cell>
          <cell r="BI36" t="str">
            <v>約工資部份3%</v>
          </cell>
          <cell r="BJ36" t="str">
            <v>式</v>
          </cell>
          <cell r="BK36">
            <v>1</v>
          </cell>
        </row>
        <row r="37">
          <cell r="A37" t="str">
            <v>a89</v>
          </cell>
          <cell r="B37" t="str">
            <v xml:space="preserve"> 鋪設級配路面(壓實厚t=15cm)</v>
          </cell>
          <cell r="C37" t="str">
            <v>100</v>
          </cell>
          <cell r="D37" t="str">
            <v xml:space="preserve"> 級配砂石料</v>
          </cell>
          <cell r="F37" t="str">
            <v></v>
          </cell>
          <cell r="G37">
            <v>18.75</v>
          </cell>
          <cell r="J37" t="str">
            <v>15x1.25=18.75</v>
          </cell>
          <cell r="K37" t="str">
            <v xml:space="preserve"> 普 通 工</v>
          </cell>
          <cell r="L37" t="str">
            <v>整理</v>
          </cell>
          <cell r="M37" t="str">
            <v>工</v>
          </cell>
          <cell r="N37">
            <v>0.16</v>
          </cell>
          <cell r="O37">
            <v>530</v>
          </cell>
          <cell r="P37">
            <v>84.8</v>
          </cell>
          <cell r="R37" t="str">
            <v xml:space="preserve"> 機 具 費</v>
          </cell>
          <cell r="S37" t="str">
            <v>整平</v>
          </cell>
          <cell r="T37" t="str">
            <v>時</v>
          </cell>
          <cell r="U37">
            <v>0.26</v>
          </cell>
          <cell r="Y37" t="str">
            <v xml:space="preserve"> 工具搬運及損耗</v>
          </cell>
          <cell r="Z37" t="str">
            <v>約工資部份2%</v>
          </cell>
          <cell r="AA37" t="str">
            <v>式</v>
          </cell>
          <cell r="AB37">
            <v>1</v>
          </cell>
        </row>
        <row r="38">
          <cell r="A38" t="str">
            <v>a92</v>
          </cell>
          <cell r="B38" t="str">
            <v xml:space="preserve"> 15cm厚碎石級配料底層舖壓</v>
          </cell>
          <cell r="C38" t="str">
            <v>100</v>
          </cell>
          <cell r="D38" t="str">
            <v xml:space="preserve"> 碎石級配料</v>
          </cell>
          <cell r="F38" t="str">
            <v></v>
          </cell>
          <cell r="G38">
            <v>18.75</v>
          </cell>
          <cell r="J38" t="str">
            <v>15x1.25=18.75</v>
          </cell>
          <cell r="K38" t="str">
            <v xml:space="preserve"> 普 通 工</v>
          </cell>
          <cell r="L38" t="str">
            <v xml:space="preserve"> </v>
          </cell>
          <cell r="M38" t="str">
            <v>工</v>
          </cell>
          <cell r="N38">
            <v>0.1</v>
          </cell>
          <cell r="O38">
            <v>530</v>
          </cell>
          <cell r="P38">
            <v>53</v>
          </cell>
          <cell r="R38" t="str">
            <v xml:space="preserve"> 平 路 機</v>
          </cell>
          <cell r="S38" t="str">
            <v xml:space="preserve"> </v>
          </cell>
          <cell r="T38" t="str">
            <v>時</v>
          </cell>
          <cell r="U38">
            <v>0.25</v>
          </cell>
          <cell r="V38">
            <v>784</v>
          </cell>
          <cell r="Y38" t="str">
            <v xml:space="preserve"> 灑 水 車</v>
          </cell>
          <cell r="AA38" t="str">
            <v>時</v>
          </cell>
          <cell r="AB38">
            <v>0.2</v>
          </cell>
          <cell r="AC38">
            <v>480</v>
          </cell>
          <cell r="AD38">
            <v>96</v>
          </cell>
          <cell r="AF38" t="str">
            <v xml:space="preserve"> 10~15T 壓路機</v>
          </cell>
          <cell r="AH38" t="str">
            <v>時</v>
          </cell>
          <cell r="AI38">
            <v>0.38</v>
          </cell>
          <cell r="AJ38">
            <v>560</v>
          </cell>
          <cell r="AK38">
            <v>212.8</v>
          </cell>
          <cell r="AM38" t="str">
            <v xml:space="preserve"> 工具搬運及損耗</v>
          </cell>
          <cell r="AN38" t="str">
            <v>約工資部份3%</v>
          </cell>
          <cell r="AO38" t="str">
            <v>式</v>
          </cell>
          <cell r="AP38">
            <v>1</v>
          </cell>
        </row>
        <row r="39">
          <cell r="A39" t="str">
            <v>a93</v>
          </cell>
          <cell r="B39" t="str">
            <v xml:space="preserve"> 滾  壓</v>
          </cell>
          <cell r="C39" t="str">
            <v>100</v>
          </cell>
          <cell r="D39" t="str">
            <v xml:space="preserve"> 特種技工</v>
          </cell>
          <cell r="E39">
            <v>0</v>
          </cell>
          <cell r="F39" t="str">
            <v>工</v>
          </cell>
          <cell r="G39">
            <v>0.7</v>
          </cell>
          <cell r="H39">
            <v>800</v>
          </cell>
          <cell r="I39">
            <v>560</v>
          </cell>
          <cell r="K39" t="str">
            <v xml:space="preserve"> 燃 料 油</v>
          </cell>
          <cell r="L39" t="str">
            <v>以柴油計價</v>
          </cell>
          <cell r="M39" t="str">
            <v>公升</v>
          </cell>
          <cell r="N39">
            <v>22</v>
          </cell>
          <cell r="O39">
            <v>100</v>
          </cell>
          <cell r="P39">
            <v>2200</v>
          </cell>
          <cell r="R39" t="str">
            <v xml:space="preserve"> 附屬油料及消耗品</v>
          </cell>
          <cell r="S39" t="str">
            <v>約燃料油部份15%</v>
          </cell>
          <cell r="T39" t="str">
            <v>式</v>
          </cell>
          <cell r="U39">
            <v>1</v>
          </cell>
          <cell r="Y39" t="str">
            <v xml:space="preserve"> 機具租金及運費</v>
          </cell>
          <cell r="Z39" t="str">
            <v>約工資部份30%</v>
          </cell>
          <cell r="AA39" t="str">
            <v>式</v>
          </cell>
          <cell r="AB39">
            <v>1</v>
          </cell>
        </row>
        <row r="40">
          <cell r="A40" t="str">
            <v>a94</v>
          </cell>
          <cell r="B40" t="str">
            <v xml:space="preserve"> 5公分灌入式瀝青面層</v>
          </cell>
          <cell r="C40" t="str">
            <v>100</v>
          </cell>
          <cell r="D40" t="str">
            <v xml:space="preserve"> 燃  料</v>
          </cell>
          <cell r="E40" t="str">
            <v>木柴</v>
          </cell>
          <cell r="F40" t="str">
            <v>kg</v>
          </cell>
          <cell r="G40">
            <v>216</v>
          </cell>
          <cell r="H40">
            <v>15</v>
          </cell>
          <cell r="K40" t="str">
            <v xml:space="preserve"> 粗 粒 料</v>
          </cell>
          <cell r="M40" t="str">
            <v></v>
          </cell>
          <cell r="N40">
            <v>5.4</v>
          </cell>
          <cell r="R40" t="str">
            <v xml:space="preserve"> 崁縫蓋面料</v>
          </cell>
          <cell r="T40" t="str">
            <v></v>
          </cell>
          <cell r="U40">
            <v>2.6</v>
          </cell>
          <cell r="Y40" t="str">
            <v xml:space="preserve"> 12T 壓路機</v>
          </cell>
          <cell r="AA40" t="str">
            <v>時</v>
          </cell>
          <cell r="AB40">
            <v>0.3</v>
          </cell>
          <cell r="AC40">
            <v>560</v>
          </cell>
          <cell r="AD40">
            <v>168</v>
          </cell>
          <cell r="AF40" t="str">
            <v xml:space="preserve"> 6~8T 壓路機</v>
          </cell>
          <cell r="AH40" t="str">
            <v>時</v>
          </cell>
          <cell r="AI40">
            <v>0.3</v>
          </cell>
          <cell r="AJ40">
            <v>450</v>
          </cell>
          <cell r="AK40">
            <v>135</v>
          </cell>
          <cell r="AM40" t="str">
            <v xml:space="preserve"> 85# 瀝青</v>
          </cell>
          <cell r="AO40" t="str">
            <v>公斤</v>
          </cell>
          <cell r="AP40">
            <v>640</v>
          </cell>
          <cell r="AQ40">
            <v>0</v>
          </cell>
          <cell r="AT40" t="str">
            <v xml:space="preserve"> 150# 瀝青</v>
          </cell>
          <cell r="AV40" t="str">
            <v>公斤</v>
          </cell>
          <cell r="AW40">
            <v>80</v>
          </cell>
          <cell r="AX40">
            <v>115</v>
          </cell>
          <cell r="BA40" t="str">
            <v xml:space="preserve"> 輕 柴 油</v>
          </cell>
          <cell r="BB40" t="str">
            <v>洗滌劑</v>
          </cell>
          <cell r="BC40" t="str">
            <v>公斤</v>
          </cell>
          <cell r="BD40">
            <v>1</v>
          </cell>
          <cell r="BE40">
            <v>20</v>
          </cell>
          <cell r="BF40">
            <v>20</v>
          </cell>
          <cell r="BH40" t="str">
            <v xml:space="preserve"> 一般技工</v>
          </cell>
          <cell r="BI40">
            <v>0</v>
          </cell>
          <cell r="BJ40" t="str">
            <v>工</v>
          </cell>
          <cell r="BK40">
            <v>0.5</v>
          </cell>
          <cell r="BL40">
            <v>720</v>
          </cell>
          <cell r="BM40">
            <v>360</v>
          </cell>
          <cell r="BO40" t="str">
            <v xml:space="preserve"> 普 通 工</v>
          </cell>
          <cell r="BP40">
            <v>0</v>
          </cell>
          <cell r="BQ40" t="str">
            <v>工</v>
          </cell>
          <cell r="BR40">
            <v>6</v>
          </cell>
          <cell r="BS40">
            <v>530</v>
          </cell>
        </row>
        <row r="41">
          <cell r="A41" t="str">
            <v>a95</v>
          </cell>
          <cell r="B41" t="str">
            <v xml:space="preserve"> 5公分瀝青混凝土面層</v>
          </cell>
          <cell r="C41" t="str">
            <v>100</v>
          </cell>
          <cell r="D41" t="str">
            <v xml:space="preserve"> 輕 柴 油</v>
          </cell>
          <cell r="E41" t="str">
            <v xml:space="preserve"> </v>
          </cell>
          <cell r="F41" t="str">
            <v>公斤</v>
          </cell>
          <cell r="G41">
            <v>1</v>
          </cell>
          <cell r="H41">
            <v>20</v>
          </cell>
          <cell r="I41">
            <v>20</v>
          </cell>
          <cell r="K41" t="str">
            <v xml:space="preserve"> 瀝青混凝土鋪裝機</v>
          </cell>
          <cell r="M41" t="str">
            <v>時</v>
          </cell>
          <cell r="N41">
            <v>0.35</v>
          </cell>
          <cell r="O41">
            <v>800</v>
          </cell>
          <cell r="P41">
            <v>280</v>
          </cell>
          <cell r="R41" t="str">
            <v xml:space="preserve"> 12T 壓路機</v>
          </cell>
          <cell r="T41" t="str">
            <v>時</v>
          </cell>
          <cell r="U41">
            <v>0.35</v>
          </cell>
          <cell r="V41">
            <v>560</v>
          </cell>
          <cell r="W41">
            <v>196</v>
          </cell>
          <cell r="Y41" t="str">
            <v xml:space="preserve"> 6~8T 壓路機</v>
          </cell>
          <cell r="AA41" t="str">
            <v>時</v>
          </cell>
          <cell r="AB41">
            <v>0.35</v>
          </cell>
          <cell r="AC41">
            <v>450</v>
          </cell>
          <cell r="AD41">
            <v>157.5</v>
          </cell>
          <cell r="AF41" t="str">
            <v xml:space="preserve"> 膠輪壓路機</v>
          </cell>
          <cell r="AH41" t="str">
            <v>時</v>
          </cell>
          <cell r="AI41">
            <v>0.35</v>
          </cell>
          <cell r="AJ41">
            <v>600</v>
          </cell>
          <cell r="AK41">
            <v>210</v>
          </cell>
          <cell r="AM41" t="str">
            <v xml:space="preserve"> 拌 合 料</v>
          </cell>
          <cell r="AO41" t="str">
            <v></v>
          </cell>
          <cell r="AP41">
            <v>5</v>
          </cell>
          <cell r="AT41" t="str">
            <v xml:space="preserve"> 拌合料運費</v>
          </cell>
          <cell r="AV41" t="str">
            <v></v>
          </cell>
          <cell r="AW41">
            <v>5</v>
          </cell>
          <cell r="BA41" t="str">
            <v xml:space="preserve"> 一般技工</v>
          </cell>
          <cell r="BB41">
            <v>0</v>
          </cell>
          <cell r="BC41" t="str">
            <v>工</v>
          </cell>
          <cell r="BD41">
            <v>0.35</v>
          </cell>
          <cell r="BE41">
            <v>720</v>
          </cell>
          <cell r="BF41">
            <v>251.99999999999997</v>
          </cell>
          <cell r="BH41" t="str">
            <v xml:space="preserve"> 普 通 工</v>
          </cell>
          <cell r="BI41">
            <v>0</v>
          </cell>
          <cell r="BJ41" t="str">
            <v>工</v>
          </cell>
          <cell r="BK41">
            <v>0.6</v>
          </cell>
          <cell r="BL41">
            <v>530</v>
          </cell>
          <cell r="BM41">
            <v>318</v>
          </cell>
          <cell r="BO41" t="str">
            <v xml:space="preserve"> 工具搬運及損耗</v>
          </cell>
          <cell r="BP41" t="str">
            <v>約工資部份3%</v>
          </cell>
          <cell r="BQ41" t="str">
            <v>式</v>
          </cell>
          <cell r="BR41">
            <v>1</v>
          </cell>
        </row>
        <row r="42">
          <cell r="A42" t="str">
            <v>a96</v>
          </cell>
          <cell r="B42" t="str">
            <v xml:space="preserve"> 透  層(人工)</v>
          </cell>
          <cell r="C42" t="str">
            <v>100</v>
          </cell>
          <cell r="D42" t="str">
            <v xml:space="preserve"> 燃  料</v>
          </cell>
          <cell r="E42" t="str">
            <v>木柴</v>
          </cell>
          <cell r="F42" t="str">
            <v>kg</v>
          </cell>
          <cell r="G42">
            <v>10</v>
          </cell>
          <cell r="H42">
            <v>15</v>
          </cell>
          <cell r="K42" t="str">
            <v xml:space="preserve"> 砂</v>
          </cell>
          <cell r="M42" t="str">
            <v></v>
          </cell>
          <cell r="N42">
            <v>0.3</v>
          </cell>
          <cell r="R42" t="str">
            <v xml:space="preserve"> 瀝  青</v>
          </cell>
          <cell r="S42" t="str">
            <v>MC-1</v>
          </cell>
          <cell r="T42" t="str">
            <v>公斤</v>
          </cell>
          <cell r="U42">
            <v>80</v>
          </cell>
          <cell r="V42">
            <v>6000</v>
          </cell>
          <cell r="Y42" t="str">
            <v xml:space="preserve"> 一般技工</v>
          </cell>
          <cell r="Z42">
            <v>0</v>
          </cell>
          <cell r="AA42" t="str">
            <v>工</v>
          </cell>
          <cell r="AB42">
            <v>0.15</v>
          </cell>
          <cell r="AC42">
            <v>720</v>
          </cell>
          <cell r="AD42">
            <v>108</v>
          </cell>
          <cell r="AF42" t="str">
            <v xml:space="preserve"> 普 通 工</v>
          </cell>
          <cell r="AG42">
            <v>0</v>
          </cell>
          <cell r="AH42" t="str">
            <v>工</v>
          </cell>
          <cell r="AI42">
            <v>0.8</v>
          </cell>
          <cell r="AJ42">
            <v>530</v>
          </cell>
          <cell r="AK42">
            <v>424</v>
          </cell>
          <cell r="AM42" t="str">
            <v xml:space="preserve"> 工具搬運及損耗</v>
          </cell>
          <cell r="AN42" t="str">
            <v>約工資部份3%</v>
          </cell>
          <cell r="AO42" t="str">
            <v>式</v>
          </cell>
          <cell r="AP42">
            <v>1</v>
          </cell>
        </row>
        <row r="43">
          <cell r="A43" t="str">
            <v>a97</v>
          </cell>
          <cell r="B43" t="str">
            <v xml:space="preserve"> 粘  層</v>
          </cell>
          <cell r="C43" t="str">
            <v>100</v>
          </cell>
          <cell r="D43" t="str">
            <v xml:space="preserve"> 乳化瀝青</v>
          </cell>
          <cell r="E43" t="str">
            <v>RS-1</v>
          </cell>
          <cell r="F43" t="str">
            <v>公斤</v>
          </cell>
          <cell r="G43">
            <v>45</v>
          </cell>
          <cell r="H43">
            <v>1600</v>
          </cell>
          <cell r="K43" t="str">
            <v xml:space="preserve"> 燃  料</v>
          </cell>
          <cell r="L43" t="str">
            <v>木柴</v>
          </cell>
          <cell r="M43" t="str">
            <v>kg</v>
          </cell>
          <cell r="N43">
            <v>5</v>
          </cell>
          <cell r="O43">
            <v>15</v>
          </cell>
          <cell r="R43" t="str">
            <v xml:space="preserve"> 一般技工</v>
          </cell>
          <cell r="S43">
            <v>0</v>
          </cell>
          <cell r="T43" t="str">
            <v>工</v>
          </cell>
          <cell r="U43">
            <v>0.1</v>
          </cell>
          <cell r="V43">
            <v>720</v>
          </cell>
          <cell r="W43">
            <v>72</v>
          </cell>
          <cell r="Y43" t="str">
            <v xml:space="preserve"> 普 通 工</v>
          </cell>
          <cell r="Z43">
            <v>0</v>
          </cell>
          <cell r="AA43" t="str">
            <v>工</v>
          </cell>
          <cell r="AB43">
            <v>0.4</v>
          </cell>
          <cell r="AC43">
            <v>530</v>
          </cell>
          <cell r="AD43">
            <v>212</v>
          </cell>
          <cell r="AF43" t="str">
            <v xml:space="preserve"> 工具搬運及損耗</v>
          </cell>
          <cell r="AG43" t="str">
            <v>約工資部份3%</v>
          </cell>
          <cell r="AH43" t="str">
            <v>式</v>
          </cell>
          <cell r="AI43">
            <v>1</v>
          </cell>
        </row>
        <row r="44">
          <cell r="A44" t="str">
            <v>a98</v>
          </cell>
          <cell r="B44" t="str">
            <v xml:space="preserve"> 熱拌塑膠反光標線</v>
          </cell>
          <cell r="C44" t="str">
            <v></v>
          </cell>
          <cell r="D44" t="str">
            <v xml:space="preserve"> 標線漆(厚0.2cm)</v>
          </cell>
          <cell r="E44" t="str">
            <v>1950kg/</v>
          </cell>
          <cell r="F44" t="str">
            <v>公斤</v>
          </cell>
          <cell r="G44">
            <v>4.29</v>
          </cell>
          <cell r="H44">
            <v>35</v>
          </cell>
          <cell r="K44" t="str">
            <v xml:space="preserve"> 反光玻璃珠</v>
          </cell>
          <cell r="M44" t="str">
            <v>公斤</v>
          </cell>
          <cell r="N44">
            <v>1.29</v>
          </cell>
          <cell r="O44">
            <v>30</v>
          </cell>
          <cell r="R44" t="str">
            <v xml:space="preserve"> 黏 著 劑</v>
          </cell>
          <cell r="T44" t="str">
            <v>公斤</v>
          </cell>
          <cell r="U44">
            <v>0.14000000000000001</v>
          </cell>
          <cell r="V44">
            <v>25</v>
          </cell>
          <cell r="Y44" t="str">
            <v xml:space="preserve"> 一般技工</v>
          </cell>
          <cell r="Z44">
            <v>0</v>
          </cell>
          <cell r="AA44" t="str">
            <v>工</v>
          </cell>
          <cell r="AB44">
            <v>0.01</v>
          </cell>
          <cell r="AC44">
            <v>720</v>
          </cell>
          <cell r="AD44">
            <v>7.2</v>
          </cell>
          <cell r="AF44" t="str">
            <v xml:space="preserve"> 普 通 工</v>
          </cell>
          <cell r="AG44">
            <v>0</v>
          </cell>
          <cell r="AH44" t="str">
            <v>工</v>
          </cell>
          <cell r="AI44">
            <v>0.02</v>
          </cell>
          <cell r="AJ44">
            <v>530</v>
          </cell>
          <cell r="AK44">
            <v>10.6</v>
          </cell>
          <cell r="AM44" t="str">
            <v xml:space="preserve"> 機 具 費</v>
          </cell>
          <cell r="AN44" t="str">
            <v>與工資相同</v>
          </cell>
          <cell r="AO44" t="str">
            <v>式</v>
          </cell>
          <cell r="AP44">
            <v>1</v>
          </cell>
          <cell r="AQ44">
            <v>17.8</v>
          </cell>
          <cell r="AT44" t="str">
            <v xml:space="preserve"> 工具搬運及損耗</v>
          </cell>
          <cell r="AU44" t="str">
            <v>約工資部份3%</v>
          </cell>
          <cell r="AV44" t="str">
            <v>式</v>
          </cell>
          <cell r="AW44">
            <v>1</v>
          </cell>
        </row>
        <row r="45">
          <cell r="A45" t="str">
            <v>a113</v>
          </cell>
          <cell r="B45" t="str">
            <v xml:space="preserve"> 軟式盲溝管埋設</v>
          </cell>
          <cell r="C45" t="str">
            <v>10m</v>
          </cell>
          <cell r="D45" t="str">
            <v xml:space="preserve"> 軟式透水管</v>
          </cell>
          <cell r="E45" t="str">
            <v>φ10~20cm</v>
          </cell>
          <cell r="F45" t="str">
            <v>m</v>
          </cell>
          <cell r="G45">
            <v>10</v>
          </cell>
          <cell r="H45" t="str">
            <v>單價</v>
          </cell>
          <cell r="J45" t="str">
            <v>另計</v>
          </cell>
          <cell r="K45" t="str">
            <v xml:space="preserve"> 一般技工</v>
          </cell>
          <cell r="L45">
            <v>0</v>
          </cell>
          <cell r="M45" t="str">
            <v>工</v>
          </cell>
          <cell r="N45">
            <v>0.01</v>
          </cell>
          <cell r="O45">
            <v>720</v>
          </cell>
          <cell r="P45">
            <v>7.2</v>
          </cell>
          <cell r="R45" t="str">
            <v xml:space="preserve"> 普 通 工</v>
          </cell>
          <cell r="S45">
            <v>0</v>
          </cell>
          <cell r="T45" t="str">
            <v>工</v>
          </cell>
          <cell r="U45">
            <v>0.1</v>
          </cell>
          <cell r="V45">
            <v>530</v>
          </cell>
          <cell r="W45">
            <v>53</v>
          </cell>
          <cell r="Y45" t="str">
            <v xml:space="preserve"> 工具搬運及損耗</v>
          </cell>
          <cell r="Z45" t="str">
            <v>約工資部份3%</v>
          </cell>
          <cell r="AA45" t="str">
            <v>式</v>
          </cell>
          <cell r="AB45">
            <v>1</v>
          </cell>
        </row>
        <row r="46">
          <cell r="A46" t="str">
            <v>a122</v>
          </cell>
          <cell r="B46" t="str">
            <v xml:space="preserve"> 打 木 樁</v>
          </cell>
          <cell r="C46" t="str">
            <v>支</v>
          </cell>
          <cell r="D46" t="str">
            <v xml:space="preserve"> 普 通 工</v>
          </cell>
          <cell r="E46">
            <v>0</v>
          </cell>
          <cell r="F46" t="str">
            <v>工</v>
          </cell>
          <cell r="G46">
            <v>0.1</v>
          </cell>
          <cell r="H46">
            <v>530</v>
          </cell>
          <cell r="I46">
            <v>53</v>
          </cell>
          <cell r="K46" t="str">
            <v xml:space="preserve"> 機 具 費</v>
          </cell>
          <cell r="L46" t="str">
            <v xml:space="preserve"> </v>
          </cell>
          <cell r="M46" t="str">
            <v>式</v>
          </cell>
          <cell r="N46">
            <v>1</v>
          </cell>
          <cell r="R46" t="str">
            <v xml:space="preserve"> 工具搬運及損耗</v>
          </cell>
          <cell r="S46" t="str">
            <v>約工資部份3%</v>
          </cell>
          <cell r="T46" t="str">
            <v>式</v>
          </cell>
          <cell r="U46">
            <v>1</v>
          </cell>
        </row>
        <row r="47">
          <cell r="A47" t="str">
            <v>a123</v>
          </cell>
          <cell r="B47" t="str">
            <v xml:space="preserve"> 打20cmφPC基樁</v>
          </cell>
          <cell r="C47" t="str">
            <v>支</v>
          </cell>
          <cell r="D47" t="str">
            <v xml:space="preserve"> 一般技工</v>
          </cell>
          <cell r="E47">
            <v>0</v>
          </cell>
          <cell r="F47" t="str">
            <v>工</v>
          </cell>
          <cell r="G47">
            <v>0.15</v>
          </cell>
          <cell r="H47">
            <v>720</v>
          </cell>
          <cell r="I47">
            <v>108</v>
          </cell>
          <cell r="K47" t="str">
            <v xml:space="preserve"> 普 通 工</v>
          </cell>
          <cell r="L47">
            <v>0</v>
          </cell>
          <cell r="M47" t="str">
            <v>工</v>
          </cell>
          <cell r="N47">
            <v>0.08</v>
          </cell>
          <cell r="O47">
            <v>530</v>
          </cell>
          <cell r="P47">
            <v>42.4</v>
          </cell>
          <cell r="R47" t="str">
            <v xml:space="preserve"> 機 具 費</v>
          </cell>
          <cell r="S47" t="str">
            <v>約工資部份15%</v>
          </cell>
          <cell r="T47" t="str">
            <v>式</v>
          </cell>
          <cell r="U47">
            <v>1</v>
          </cell>
        </row>
        <row r="48">
          <cell r="A48" t="str">
            <v>a127</v>
          </cell>
          <cell r="B48" t="str">
            <v xml:space="preserve"> 打40cm口鋼筋混凝土基樁</v>
          </cell>
          <cell r="C48" t="str">
            <v>支</v>
          </cell>
          <cell r="D48" t="str">
            <v xml:space="preserve"> 一般技工</v>
          </cell>
          <cell r="E48">
            <v>0</v>
          </cell>
          <cell r="F48" t="str">
            <v>工</v>
          </cell>
          <cell r="G48">
            <v>0.35</v>
          </cell>
          <cell r="H48">
            <v>720</v>
          </cell>
          <cell r="I48">
            <v>251.99999999999997</v>
          </cell>
          <cell r="K48" t="str">
            <v xml:space="preserve"> 普 通 工</v>
          </cell>
          <cell r="L48">
            <v>0</v>
          </cell>
          <cell r="M48" t="str">
            <v>工</v>
          </cell>
          <cell r="N48">
            <v>0.3</v>
          </cell>
          <cell r="O48">
            <v>530</v>
          </cell>
          <cell r="P48">
            <v>159</v>
          </cell>
          <cell r="R48" t="str">
            <v xml:space="preserve"> 機 具 費</v>
          </cell>
          <cell r="S48" t="str">
            <v>約工資部份80%</v>
          </cell>
          <cell r="T48" t="str">
            <v>式</v>
          </cell>
          <cell r="U48">
            <v>1</v>
          </cell>
        </row>
        <row r="49">
          <cell r="A49" t="str">
            <v>a137</v>
          </cell>
          <cell r="B49" t="str">
            <v xml:space="preserve"> 0.6mφ反循環鑽掘樁</v>
          </cell>
          <cell r="C49" t="str">
            <v>30m</v>
          </cell>
          <cell r="D49" t="str">
            <v xml:space="preserve"> 一般技工</v>
          </cell>
          <cell r="E49">
            <v>0</v>
          </cell>
          <cell r="F49" t="str">
            <v>工</v>
          </cell>
          <cell r="G49">
            <v>12</v>
          </cell>
          <cell r="H49">
            <v>720</v>
          </cell>
          <cell r="I49">
            <v>8640</v>
          </cell>
          <cell r="K49" t="str">
            <v xml:space="preserve"> 普 通 工</v>
          </cell>
          <cell r="L49">
            <v>0</v>
          </cell>
          <cell r="M49" t="str">
            <v>工</v>
          </cell>
          <cell r="N49">
            <v>18</v>
          </cell>
          <cell r="O49">
            <v>530</v>
          </cell>
          <cell r="P49">
            <v>9540</v>
          </cell>
          <cell r="R49" t="str">
            <v xml:space="preserve"> 鑽 掘 費</v>
          </cell>
          <cell r="S49" t="str">
            <v>約工資部份80%</v>
          </cell>
          <cell r="T49" t="str">
            <v>式</v>
          </cell>
          <cell r="U49">
            <v>1</v>
          </cell>
          <cell r="V49">
            <v>14544</v>
          </cell>
          <cell r="Y49" t="str">
            <v xml:space="preserve"> 210kg/c㎡水中混凝土</v>
          </cell>
          <cell r="AA49" t="str">
            <v></v>
          </cell>
          <cell r="AB49">
            <v>9.8000000000000007</v>
          </cell>
          <cell r="AE49" t="str">
            <v>另計</v>
          </cell>
          <cell r="AF49" t="str">
            <v xml:space="preserve"> 鋼筋彎紮焊接吊放</v>
          </cell>
          <cell r="AH49" t="str">
            <v>噸</v>
          </cell>
          <cell r="AM49" t="str">
            <v xml:space="preserve"> 零星器材及其他</v>
          </cell>
          <cell r="AN49" t="str">
            <v>約工資部份25%</v>
          </cell>
          <cell r="AO49" t="str">
            <v>式</v>
          </cell>
          <cell r="AP49">
            <v>1</v>
          </cell>
        </row>
        <row r="50">
          <cell r="A50" t="str">
            <v>a145</v>
          </cell>
          <cell r="B50" t="str">
            <v xml:space="preserve"> 609.6mmφ鋼管基樁</v>
          </cell>
          <cell r="C50" t="str">
            <v>30m</v>
          </cell>
          <cell r="D50" t="str">
            <v xml:space="preserve"> 一般技工</v>
          </cell>
          <cell r="E50">
            <v>0</v>
          </cell>
          <cell r="F50" t="str">
            <v>工</v>
          </cell>
          <cell r="G50">
            <v>4.5</v>
          </cell>
          <cell r="H50">
            <v>720</v>
          </cell>
          <cell r="I50">
            <v>3240</v>
          </cell>
          <cell r="K50" t="str">
            <v xml:space="preserve"> 普 通 工</v>
          </cell>
          <cell r="L50">
            <v>0</v>
          </cell>
          <cell r="M50" t="str">
            <v>工</v>
          </cell>
          <cell r="N50">
            <v>2.5</v>
          </cell>
          <cell r="O50">
            <v>530</v>
          </cell>
          <cell r="P50">
            <v>1325</v>
          </cell>
          <cell r="R50" t="str">
            <v xml:space="preserve"> 打樁機具費</v>
          </cell>
          <cell r="T50" t="str">
            <v>時</v>
          </cell>
          <cell r="U50">
            <v>4</v>
          </cell>
          <cell r="V50">
            <v>1000</v>
          </cell>
          <cell r="X50" t="str">
            <v>錘重4.5T</v>
          </cell>
          <cell r="Y50" t="str">
            <v xml:space="preserve"> 609.6mmφ鋼管樁</v>
          </cell>
          <cell r="AA50" t="str">
            <v>m</v>
          </cell>
          <cell r="AB50">
            <v>30</v>
          </cell>
          <cell r="AE50" t="str">
            <v>另計</v>
          </cell>
          <cell r="AF50" t="str">
            <v xml:space="preserve"> 零星工料費</v>
          </cell>
          <cell r="AG50" t="str">
            <v>約工資部份30%</v>
          </cell>
          <cell r="AH50" t="str">
            <v>式</v>
          </cell>
          <cell r="AI50">
            <v>1</v>
          </cell>
        </row>
        <row r="51">
          <cell r="A51" t="str">
            <v>a148</v>
          </cell>
          <cell r="B51" t="str">
            <v xml:space="preserve"> 打拔鋼鈑樁</v>
          </cell>
          <cell r="C51" t="str">
            <v>片</v>
          </cell>
          <cell r="D51" t="str">
            <v xml:space="preserve"> 一般技工</v>
          </cell>
          <cell r="E51">
            <v>0</v>
          </cell>
          <cell r="F51" t="str">
            <v>工</v>
          </cell>
          <cell r="G51">
            <v>0.05</v>
          </cell>
          <cell r="H51">
            <v>720</v>
          </cell>
          <cell r="I51">
            <v>36</v>
          </cell>
          <cell r="K51" t="str">
            <v xml:space="preserve"> 普 通 工</v>
          </cell>
          <cell r="L51">
            <v>0</v>
          </cell>
          <cell r="M51" t="str">
            <v>工</v>
          </cell>
          <cell r="N51">
            <v>0.3</v>
          </cell>
          <cell r="O51">
            <v>530</v>
          </cell>
          <cell r="P51">
            <v>159</v>
          </cell>
          <cell r="R51" t="str">
            <v xml:space="preserve"> 打拔機具費</v>
          </cell>
          <cell r="T51" t="str">
            <v>時</v>
          </cell>
          <cell r="U51">
            <v>0.4</v>
          </cell>
          <cell r="V51">
            <v>5000</v>
          </cell>
          <cell r="W51">
            <v>2000</v>
          </cell>
          <cell r="Y51" t="str">
            <v xml:space="preserve">  鋼鈑樁租金</v>
          </cell>
          <cell r="Z51" t="str">
            <v>9mx0.4m</v>
          </cell>
          <cell r="AA51" t="str">
            <v>片</v>
          </cell>
          <cell r="AB51">
            <v>1</v>
          </cell>
          <cell r="AF51" t="str">
            <v xml:space="preserve"> 零星工料費</v>
          </cell>
          <cell r="AG51" t="str">
            <v>約租金10%</v>
          </cell>
          <cell r="AH51" t="str">
            <v>式</v>
          </cell>
          <cell r="AI51">
            <v>1</v>
          </cell>
          <cell r="AM51" t="str">
            <v xml:space="preserve"> 工具搬運及損耗</v>
          </cell>
          <cell r="AN51" t="str">
            <v>約工資部份3%</v>
          </cell>
          <cell r="AO51" t="str">
            <v>式</v>
          </cell>
          <cell r="AP51">
            <v>1</v>
          </cell>
        </row>
        <row r="52">
          <cell r="A52" t="str">
            <v>a153</v>
          </cell>
          <cell r="B52" t="str">
            <v xml:space="preserve"> 打拔鋼軌樁(37kg/m,長10m@0.6m)</v>
          </cell>
          <cell r="C52" t="str">
            <v>30m</v>
          </cell>
          <cell r="D52" t="str">
            <v xml:space="preserve"> 一般技工</v>
          </cell>
          <cell r="E52">
            <v>0</v>
          </cell>
          <cell r="F52" t="str">
            <v>工</v>
          </cell>
          <cell r="G52">
            <v>2.5</v>
          </cell>
          <cell r="H52">
            <v>720</v>
          </cell>
          <cell r="I52">
            <v>1800</v>
          </cell>
          <cell r="K52" t="str">
            <v xml:space="preserve"> 普 通 工</v>
          </cell>
          <cell r="L52">
            <v>0</v>
          </cell>
          <cell r="M52" t="str">
            <v>工</v>
          </cell>
          <cell r="N52">
            <v>1.2</v>
          </cell>
          <cell r="O52">
            <v>530</v>
          </cell>
          <cell r="P52">
            <v>636</v>
          </cell>
          <cell r="R52" t="str">
            <v xml:space="preserve"> 打拔機具費</v>
          </cell>
          <cell r="T52" t="str">
            <v>時</v>
          </cell>
          <cell r="U52">
            <v>10</v>
          </cell>
          <cell r="V52">
            <v>5000</v>
          </cell>
          <cell r="W52">
            <v>50000</v>
          </cell>
          <cell r="Y52" t="str">
            <v xml:space="preserve">  鋼軌租金</v>
          </cell>
          <cell r="Z52" t="str">
            <v>37kg/m,長10m</v>
          </cell>
          <cell r="AA52" t="str">
            <v>支</v>
          </cell>
          <cell r="AB52">
            <v>51</v>
          </cell>
          <cell r="AF52" t="str">
            <v xml:space="preserve"> 2cm厚擋土板</v>
          </cell>
          <cell r="AH52" t="str">
            <v>㎡</v>
          </cell>
          <cell r="AI52">
            <v>3</v>
          </cell>
          <cell r="AL52" t="str">
            <v>利用舊料</v>
          </cell>
          <cell r="AM52" t="str">
            <v xml:space="preserve"> 零星工料費</v>
          </cell>
          <cell r="AN52" t="str">
            <v>約鋼軌租金10%</v>
          </cell>
          <cell r="AO52" t="str">
            <v>式</v>
          </cell>
          <cell r="AP52">
            <v>1</v>
          </cell>
          <cell r="AT52" t="str">
            <v xml:space="preserve"> 工具搬運及損耗</v>
          </cell>
          <cell r="AU52" t="str">
            <v>約工資部份3%</v>
          </cell>
          <cell r="AV52" t="str">
            <v>式</v>
          </cell>
          <cell r="AW52">
            <v>1</v>
          </cell>
        </row>
        <row r="53">
          <cell r="A53" t="str">
            <v>a154</v>
          </cell>
          <cell r="B53" t="str">
            <v xml:space="preserve"> 打鋼軌樁</v>
          </cell>
          <cell r="C53" t="str">
            <v>支</v>
          </cell>
          <cell r="D53" t="str">
            <v xml:space="preserve"> 一般技工</v>
          </cell>
          <cell r="E53">
            <v>0</v>
          </cell>
          <cell r="F53" t="str">
            <v>工</v>
          </cell>
          <cell r="G53">
            <v>0.1</v>
          </cell>
          <cell r="H53">
            <v>720</v>
          </cell>
          <cell r="I53">
            <v>72</v>
          </cell>
          <cell r="K53" t="str">
            <v xml:space="preserve"> 普 通 工</v>
          </cell>
          <cell r="L53">
            <v>0</v>
          </cell>
          <cell r="M53" t="str">
            <v>工</v>
          </cell>
          <cell r="N53">
            <v>0.02</v>
          </cell>
          <cell r="O53">
            <v>530</v>
          </cell>
          <cell r="P53">
            <v>10.6</v>
          </cell>
          <cell r="R53" t="str">
            <v xml:space="preserve"> 鋼軌樁頭處理</v>
          </cell>
          <cell r="T53" t="str">
            <v>式</v>
          </cell>
          <cell r="U53">
            <v>1</v>
          </cell>
          <cell r="Y53" t="str">
            <v xml:space="preserve"> 機 具 費</v>
          </cell>
          <cell r="Z53" t="str">
            <v>含租金運費</v>
          </cell>
          <cell r="AA53" t="str">
            <v>式</v>
          </cell>
          <cell r="AB53">
            <v>1</v>
          </cell>
        </row>
        <row r="54">
          <cell r="A54" t="str">
            <v>a172</v>
          </cell>
          <cell r="B54" t="str">
            <v xml:space="preserve"> 砌  磚 (B)</v>
          </cell>
          <cell r="C54" t="str">
            <v></v>
          </cell>
          <cell r="D54" t="str">
            <v xml:space="preserve"> 紅  磚</v>
          </cell>
          <cell r="E54" t="str">
            <v>6x11x23cm</v>
          </cell>
          <cell r="F54" t="str">
            <v>塊</v>
          </cell>
          <cell r="G54">
            <v>70</v>
          </cell>
          <cell r="K54" t="str">
            <v xml:space="preserve"> 1:3水泥砂漿</v>
          </cell>
          <cell r="M54" t="str">
            <v></v>
          </cell>
          <cell r="N54">
            <v>2.5000000000000001E-2</v>
          </cell>
          <cell r="R54" t="str">
            <v xml:space="preserve"> 一般技工</v>
          </cell>
          <cell r="S54">
            <v>0</v>
          </cell>
          <cell r="T54" t="str">
            <v>工</v>
          </cell>
          <cell r="U54">
            <v>0.13</v>
          </cell>
          <cell r="V54">
            <v>720</v>
          </cell>
          <cell r="W54">
            <v>93.600000000000009</v>
          </cell>
          <cell r="Y54" t="str">
            <v xml:space="preserve"> 普 通 工</v>
          </cell>
          <cell r="Z54">
            <v>0</v>
          </cell>
          <cell r="AA54" t="str">
            <v>工</v>
          </cell>
          <cell r="AB54">
            <v>0.13</v>
          </cell>
          <cell r="AC54">
            <v>530</v>
          </cell>
          <cell r="AD54">
            <v>68.900000000000006</v>
          </cell>
          <cell r="AF54" t="str">
            <v xml:space="preserve"> 工具搬運及損耗</v>
          </cell>
          <cell r="AG54" t="str">
            <v>約工資部份2%</v>
          </cell>
          <cell r="AH54" t="str">
            <v>式</v>
          </cell>
          <cell r="AI54">
            <v>1</v>
          </cell>
        </row>
        <row r="55">
          <cell r="A55" t="str">
            <v>a175</v>
          </cell>
          <cell r="B55" t="str">
            <v xml:space="preserve"> 斬 石 子</v>
          </cell>
          <cell r="C55" t="str">
            <v></v>
          </cell>
          <cell r="D55" t="str">
            <v xml:space="preserve"> 水  泥</v>
          </cell>
          <cell r="E55" t="str">
            <v>白水泥</v>
          </cell>
          <cell r="F55" t="str">
            <v>包</v>
          </cell>
          <cell r="G55">
            <v>0.12</v>
          </cell>
          <cell r="J55" t="str">
            <v>另計</v>
          </cell>
          <cell r="K55" t="str">
            <v xml:space="preserve"> 1:3水泥砂漿</v>
          </cell>
          <cell r="M55" t="str">
            <v></v>
          </cell>
          <cell r="N55">
            <v>2.5000000000000001E-2</v>
          </cell>
          <cell r="R55" t="str">
            <v xml:space="preserve"> 小 石 粒</v>
          </cell>
          <cell r="T55" t="str">
            <v>kg</v>
          </cell>
          <cell r="U55">
            <v>11</v>
          </cell>
          <cell r="Y55" t="str">
            <v xml:space="preserve"> 石  粉</v>
          </cell>
          <cell r="AA55" t="str">
            <v>kg</v>
          </cell>
          <cell r="AB55">
            <v>1</v>
          </cell>
          <cell r="AF55" t="str">
            <v xml:space="preserve"> 一般技工</v>
          </cell>
          <cell r="AG55">
            <v>0</v>
          </cell>
          <cell r="AH55" t="str">
            <v>工</v>
          </cell>
          <cell r="AI55">
            <v>0.74</v>
          </cell>
          <cell r="AJ55">
            <v>720</v>
          </cell>
          <cell r="AK55">
            <v>532.79999999999995</v>
          </cell>
          <cell r="AM55" t="str">
            <v xml:space="preserve"> 普 通 工</v>
          </cell>
          <cell r="AN55">
            <v>0</v>
          </cell>
          <cell r="AO55" t="str">
            <v>工</v>
          </cell>
          <cell r="AP55">
            <v>0.12</v>
          </cell>
          <cell r="AQ55">
            <v>530</v>
          </cell>
          <cell r="AR55">
            <v>63.599999999999994</v>
          </cell>
          <cell r="AT55" t="str">
            <v xml:space="preserve"> 工具搬運及損耗</v>
          </cell>
          <cell r="AU55" t="str">
            <v>約工資部份2%</v>
          </cell>
          <cell r="AV55" t="str">
            <v>式</v>
          </cell>
          <cell r="AW55">
            <v>1</v>
          </cell>
        </row>
        <row r="56">
          <cell r="A56" t="str">
            <v>a176</v>
          </cell>
          <cell r="B56" t="str">
            <v xml:space="preserve"> 洗 石 子</v>
          </cell>
          <cell r="C56" t="str">
            <v></v>
          </cell>
          <cell r="D56" t="str">
            <v xml:space="preserve"> 水泥(或白水泥)</v>
          </cell>
          <cell r="E56" t="str">
            <v xml:space="preserve"> </v>
          </cell>
          <cell r="F56" t="str">
            <v>包</v>
          </cell>
          <cell r="G56">
            <v>0.12</v>
          </cell>
          <cell r="J56" t="str">
            <v>另計</v>
          </cell>
          <cell r="K56" t="str">
            <v xml:space="preserve"> 1:3水泥砂漿</v>
          </cell>
          <cell r="M56" t="str">
            <v></v>
          </cell>
          <cell r="N56">
            <v>1.7999999999999999E-2</v>
          </cell>
          <cell r="R56" t="str">
            <v xml:space="preserve"> 石  粒</v>
          </cell>
          <cell r="T56" t="str">
            <v>kg</v>
          </cell>
          <cell r="U56">
            <v>11</v>
          </cell>
          <cell r="Y56" t="str">
            <v xml:space="preserve"> 石  粉</v>
          </cell>
          <cell r="AA56" t="str">
            <v>kg</v>
          </cell>
          <cell r="AB56">
            <v>0.09</v>
          </cell>
          <cell r="AF56" t="str">
            <v xml:space="preserve"> 一般技工</v>
          </cell>
          <cell r="AG56">
            <v>0</v>
          </cell>
          <cell r="AH56" t="str">
            <v>工</v>
          </cell>
          <cell r="AI56">
            <v>0.26</v>
          </cell>
          <cell r="AJ56">
            <v>720</v>
          </cell>
          <cell r="AK56">
            <v>187.20000000000002</v>
          </cell>
          <cell r="AM56" t="str">
            <v xml:space="preserve"> 普 通 工</v>
          </cell>
          <cell r="AN56">
            <v>0</v>
          </cell>
          <cell r="AO56" t="str">
            <v>工</v>
          </cell>
          <cell r="AP56">
            <v>0.2</v>
          </cell>
          <cell r="AQ56">
            <v>530</v>
          </cell>
          <cell r="AR56">
            <v>106</v>
          </cell>
          <cell r="AT56" t="str">
            <v xml:space="preserve"> 工具搬運及損耗</v>
          </cell>
          <cell r="AU56" t="str">
            <v>約工資部份1%</v>
          </cell>
          <cell r="AV56" t="str">
            <v>式</v>
          </cell>
          <cell r="AW56">
            <v>1</v>
          </cell>
        </row>
        <row r="57">
          <cell r="A57" t="str">
            <v>a177</v>
          </cell>
          <cell r="B57" t="str">
            <v xml:space="preserve"> 磨 石 子</v>
          </cell>
          <cell r="C57" t="str">
            <v></v>
          </cell>
          <cell r="D57" t="str">
            <v xml:space="preserve"> 水  泥</v>
          </cell>
          <cell r="E57" t="str">
            <v xml:space="preserve"> </v>
          </cell>
          <cell r="F57" t="str">
            <v>包</v>
          </cell>
          <cell r="G57">
            <v>0.14000000000000001</v>
          </cell>
          <cell r="J57" t="str">
            <v>另計</v>
          </cell>
          <cell r="K57" t="str">
            <v xml:space="preserve"> 1:3水泥砂漿</v>
          </cell>
          <cell r="M57" t="str">
            <v></v>
          </cell>
          <cell r="N57">
            <v>1.7999999999999999E-2</v>
          </cell>
          <cell r="R57" t="str">
            <v xml:space="preserve"> 小 石 子</v>
          </cell>
          <cell r="T57" t="str">
            <v>kg</v>
          </cell>
          <cell r="U57">
            <v>11</v>
          </cell>
          <cell r="Y57" t="str">
            <v xml:space="preserve"> 色  粉</v>
          </cell>
          <cell r="AA57" t="str">
            <v>kg</v>
          </cell>
          <cell r="AB57">
            <v>0.15</v>
          </cell>
          <cell r="AF57" t="str">
            <v xml:space="preserve"> 一般技工</v>
          </cell>
          <cell r="AG57">
            <v>0</v>
          </cell>
          <cell r="AH57" t="str">
            <v>工</v>
          </cell>
          <cell r="AI57">
            <v>0.6</v>
          </cell>
          <cell r="AJ57">
            <v>720</v>
          </cell>
          <cell r="AK57">
            <v>432</v>
          </cell>
          <cell r="AM57" t="str">
            <v xml:space="preserve"> 普 通 工</v>
          </cell>
          <cell r="AN57">
            <v>0</v>
          </cell>
          <cell r="AO57" t="str">
            <v>工</v>
          </cell>
          <cell r="AP57">
            <v>0.12</v>
          </cell>
          <cell r="AQ57">
            <v>530</v>
          </cell>
          <cell r="AR57">
            <v>63.599999999999994</v>
          </cell>
          <cell r="AT57" t="str">
            <v xml:space="preserve"> 打  蠟</v>
          </cell>
          <cell r="AV57" t="str">
            <v></v>
          </cell>
          <cell r="AW57">
            <v>1</v>
          </cell>
          <cell r="BA57" t="str">
            <v xml:space="preserve"> 工具搬運及損耗</v>
          </cell>
          <cell r="BB57" t="str">
            <v>約工資部份2%</v>
          </cell>
          <cell r="BC57" t="str">
            <v>式</v>
          </cell>
          <cell r="BD57">
            <v>1</v>
          </cell>
        </row>
        <row r="58">
          <cell r="A58" t="str">
            <v>a178</v>
          </cell>
          <cell r="B58" t="str">
            <v xml:space="preserve"> 貼馬賽克</v>
          </cell>
          <cell r="C58" t="str">
            <v></v>
          </cell>
          <cell r="D58" t="str">
            <v xml:space="preserve"> 1:3水泥砂漿</v>
          </cell>
          <cell r="F58" t="str">
            <v></v>
          </cell>
          <cell r="G58">
            <v>2.5000000000000001E-2</v>
          </cell>
          <cell r="K58" t="str">
            <v xml:space="preserve"> 馬 賽 克</v>
          </cell>
          <cell r="M58" t="str">
            <v>才</v>
          </cell>
          <cell r="N58">
            <v>11</v>
          </cell>
          <cell r="R58" t="str">
            <v xml:space="preserve"> 一般技工</v>
          </cell>
          <cell r="S58">
            <v>0</v>
          </cell>
          <cell r="T58" t="str">
            <v>工</v>
          </cell>
          <cell r="U58">
            <v>0.33</v>
          </cell>
          <cell r="V58">
            <v>720</v>
          </cell>
          <cell r="W58">
            <v>237.60000000000002</v>
          </cell>
          <cell r="Y58" t="str">
            <v xml:space="preserve"> 普 通 工</v>
          </cell>
          <cell r="Z58">
            <v>0</v>
          </cell>
          <cell r="AA58" t="str">
            <v>工</v>
          </cell>
          <cell r="AB58">
            <v>0.18</v>
          </cell>
          <cell r="AC58">
            <v>530</v>
          </cell>
          <cell r="AD58">
            <v>95.399999999999991</v>
          </cell>
          <cell r="AF58" t="str">
            <v xml:space="preserve"> 勾縫水泥</v>
          </cell>
          <cell r="AH58" t="str">
            <v>kg</v>
          </cell>
          <cell r="AI58">
            <v>0.6</v>
          </cell>
          <cell r="AM58" t="str">
            <v xml:space="preserve"> 工具搬運及損耗</v>
          </cell>
          <cell r="AN58" t="str">
            <v>約工資部份2%</v>
          </cell>
          <cell r="AO58" t="str">
            <v>式</v>
          </cell>
          <cell r="AP58">
            <v>1</v>
          </cell>
        </row>
        <row r="59">
          <cell r="A59" t="str">
            <v>a179</v>
          </cell>
          <cell r="B59" t="str">
            <v xml:space="preserve"> 貼 磁 磚</v>
          </cell>
          <cell r="C59" t="str">
            <v></v>
          </cell>
          <cell r="D59" t="str">
            <v xml:space="preserve"> 1:3水泥砂漿</v>
          </cell>
          <cell r="F59" t="str">
            <v></v>
          </cell>
          <cell r="G59">
            <v>2.5000000000000001E-2</v>
          </cell>
          <cell r="K59" t="str">
            <v xml:space="preserve"> 磁  磚</v>
          </cell>
          <cell r="M59" t="str">
            <v></v>
          </cell>
          <cell r="N59">
            <v>1</v>
          </cell>
          <cell r="R59" t="str">
            <v xml:space="preserve"> 一般技工</v>
          </cell>
          <cell r="S59">
            <v>0</v>
          </cell>
          <cell r="T59" t="str">
            <v>工</v>
          </cell>
          <cell r="U59">
            <v>0.28999999999999998</v>
          </cell>
          <cell r="V59">
            <v>720</v>
          </cell>
          <cell r="W59">
            <v>208.79999999999998</v>
          </cell>
          <cell r="Y59" t="str">
            <v xml:space="preserve"> 普 通 工</v>
          </cell>
          <cell r="Z59">
            <v>0</v>
          </cell>
          <cell r="AA59" t="str">
            <v>工</v>
          </cell>
          <cell r="AB59">
            <v>0.16</v>
          </cell>
          <cell r="AC59">
            <v>530</v>
          </cell>
          <cell r="AD59">
            <v>84.8</v>
          </cell>
          <cell r="AF59" t="str">
            <v xml:space="preserve"> 勾縫水泥</v>
          </cell>
          <cell r="AH59" t="str">
            <v>kg</v>
          </cell>
          <cell r="AI59">
            <v>0.3</v>
          </cell>
          <cell r="AM59" t="str">
            <v xml:space="preserve"> 工具搬運及損耗</v>
          </cell>
          <cell r="AN59" t="str">
            <v>約工資部份1%</v>
          </cell>
          <cell r="AO59" t="str">
            <v>式</v>
          </cell>
          <cell r="AP59">
            <v>1</v>
          </cell>
        </row>
        <row r="60">
          <cell r="A60" t="str">
            <v>a180</v>
          </cell>
          <cell r="B60" t="str">
            <v xml:space="preserve"> 貼 石 片</v>
          </cell>
          <cell r="C60" t="str">
            <v></v>
          </cell>
          <cell r="D60" t="str">
            <v xml:space="preserve"> 1:3水泥砂漿</v>
          </cell>
          <cell r="F60" t="str">
            <v></v>
          </cell>
          <cell r="G60">
            <v>2.5000000000000001E-2</v>
          </cell>
          <cell r="K60" t="str">
            <v xml:space="preserve"> 石  片</v>
          </cell>
          <cell r="M60" t="str">
            <v></v>
          </cell>
          <cell r="N60">
            <v>1</v>
          </cell>
          <cell r="R60" t="str">
            <v xml:space="preserve"> 一般技工</v>
          </cell>
          <cell r="S60">
            <v>0</v>
          </cell>
          <cell r="T60" t="str">
            <v>工</v>
          </cell>
          <cell r="U60">
            <v>0.25</v>
          </cell>
          <cell r="V60">
            <v>720</v>
          </cell>
          <cell r="W60">
            <v>180</v>
          </cell>
          <cell r="Y60" t="str">
            <v xml:space="preserve"> 普 通 工</v>
          </cell>
          <cell r="Z60">
            <v>0</v>
          </cell>
          <cell r="AA60" t="str">
            <v>工</v>
          </cell>
          <cell r="AB60">
            <v>0.25</v>
          </cell>
          <cell r="AC60">
            <v>530</v>
          </cell>
          <cell r="AD60">
            <v>132.5</v>
          </cell>
          <cell r="AF60" t="str">
            <v xml:space="preserve"> 工具搬運及損耗</v>
          </cell>
          <cell r="AG60" t="str">
            <v>約工資部份2%</v>
          </cell>
          <cell r="AH60" t="str">
            <v>式</v>
          </cell>
          <cell r="AI60">
            <v>1</v>
          </cell>
        </row>
        <row r="61">
          <cell r="A61" t="str">
            <v>a181</v>
          </cell>
          <cell r="B61" t="str">
            <v xml:space="preserve"> 鋪高壓地磚</v>
          </cell>
          <cell r="C61" t="str">
            <v></v>
          </cell>
          <cell r="D61" t="str">
            <v xml:space="preserve"> 高壓地磚</v>
          </cell>
          <cell r="F61" t="str">
            <v></v>
          </cell>
          <cell r="G61">
            <v>1</v>
          </cell>
          <cell r="K61" t="str">
            <v xml:space="preserve"> 襯底細砂</v>
          </cell>
          <cell r="L61" t="str">
            <v>厚5cm</v>
          </cell>
          <cell r="M61" t="str">
            <v></v>
          </cell>
          <cell r="N61">
            <v>0.05</v>
          </cell>
          <cell r="R61" t="str">
            <v xml:space="preserve"> 一般技工</v>
          </cell>
          <cell r="S61">
            <v>0</v>
          </cell>
          <cell r="T61" t="str">
            <v>工</v>
          </cell>
          <cell r="U61">
            <v>0.12</v>
          </cell>
          <cell r="V61">
            <v>720</v>
          </cell>
          <cell r="W61">
            <v>86.399999999999991</v>
          </cell>
          <cell r="Y61" t="str">
            <v xml:space="preserve"> 普 通 工</v>
          </cell>
          <cell r="Z61">
            <v>0</v>
          </cell>
          <cell r="AA61" t="str">
            <v>工</v>
          </cell>
          <cell r="AB61">
            <v>0.14000000000000001</v>
          </cell>
          <cell r="AC61">
            <v>530</v>
          </cell>
          <cell r="AD61">
            <v>74.2</v>
          </cell>
          <cell r="AF61" t="str">
            <v xml:space="preserve"> 振動機夯實</v>
          </cell>
          <cell r="AG61" t="str">
            <v>約工資部份30%</v>
          </cell>
          <cell r="AH61" t="str">
            <v>式</v>
          </cell>
          <cell r="AI61">
            <v>1</v>
          </cell>
          <cell r="AM61" t="str">
            <v xml:space="preserve"> 工具搬運及損耗</v>
          </cell>
          <cell r="AN61" t="str">
            <v>約工資部份3%</v>
          </cell>
          <cell r="AO61" t="str">
            <v>式</v>
          </cell>
          <cell r="AP61">
            <v>1</v>
          </cell>
        </row>
        <row r="62">
          <cell r="A62" t="str">
            <v>a183</v>
          </cell>
          <cell r="B62" t="str">
            <v xml:space="preserve"> 水 泥 漆(一底二度)</v>
          </cell>
          <cell r="C62" t="str">
            <v></v>
          </cell>
          <cell r="D62" t="str">
            <v xml:space="preserve"> 水 泥 漆</v>
          </cell>
          <cell r="F62" t="str">
            <v>公升</v>
          </cell>
          <cell r="G62">
            <v>0.35</v>
          </cell>
          <cell r="K62" t="str">
            <v xml:space="preserve"> 一般技工</v>
          </cell>
          <cell r="L62">
            <v>0</v>
          </cell>
          <cell r="M62" t="str">
            <v>工</v>
          </cell>
          <cell r="N62">
            <v>0.06</v>
          </cell>
          <cell r="O62">
            <v>720</v>
          </cell>
          <cell r="P62">
            <v>43.199999999999996</v>
          </cell>
          <cell r="R62" t="str">
            <v xml:space="preserve"> 工具搬運及損耗</v>
          </cell>
          <cell r="S62" t="str">
            <v>約工資部份3%</v>
          </cell>
          <cell r="T62" t="str">
            <v>式</v>
          </cell>
          <cell r="U62">
            <v>1</v>
          </cell>
        </row>
        <row r="63">
          <cell r="A63" t="str">
            <v>a184</v>
          </cell>
          <cell r="B63" t="str">
            <v xml:space="preserve"> 鋼料油漆(一底二度)</v>
          </cell>
          <cell r="C63" t="str">
            <v></v>
          </cell>
          <cell r="D63" t="str">
            <v xml:space="preserve"> 底  漆(一度)</v>
          </cell>
          <cell r="E63" t="str">
            <v>紅丹</v>
          </cell>
          <cell r="F63" t="str">
            <v>公升</v>
          </cell>
          <cell r="G63">
            <v>0.17</v>
          </cell>
          <cell r="K63" t="str">
            <v xml:space="preserve"> 面  漆(二度)</v>
          </cell>
          <cell r="L63" t="str">
            <v xml:space="preserve"> </v>
          </cell>
          <cell r="M63" t="str">
            <v>公升</v>
          </cell>
          <cell r="N63">
            <v>0.34</v>
          </cell>
          <cell r="R63" t="str">
            <v xml:space="preserve"> 一般技工</v>
          </cell>
          <cell r="S63" t="str">
            <v>含除鏽</v>
          </cell>
          <cell r="T63" t="str">
            <v>工</v>
          </cell>
          <cell r="U63">
            <v>0.2</v>
          </cell>
          <cell r="V63">
            <v>720</v>
          </cell>
          <cell r="W63">
            <v>144</v>
          </cell>
          <cell r="Y63" t="str">
            <v xml:space="preserve"> 工具搬運及損耗</v>
          </cell>
          <cell r="Z63" t="str">
            <v>約工資部份3%</v>
          </cell>
          <cell r="AA63" t="str">
            <v>式</v>
          </cell>
          <cell r="AB63">
            <v>1</v>
          </cell>
        </row>
        <row r="64">
          <cell r="A64" t="str">
            <v>a185</v>
          </cell>
          <cell r="B64" t="str">
            <v xml:space="preserve"> 甲式橡膠伸縮縫</v>
          </cell>
          <cell r="C64" t="str">
            <v>m</v>
          </cell>
          <cell r="D64" t="str">
            <v xml:space="preserve"> 一般技工</v>
          </cell>
          <cell r="E64">
            <v>0</v>
          </cell>
          <cell r="F64" t="str">
            <v>工</v>
          </cell>
          <cell r="G64">
            <v>1.2</v>
          </cell>
          <cell r="H64">
            <v>720</v>
          </cell>
          <cell r="I64">
            <v>864</v>
          </cell>
          <cell r="K64" t="str">
            <v xml:space="preserve"> 普 通 工</v>
          </cell>
          <cell r="L64">
            <v>0</v>
          </cell>
          <cell r="M64" t="str">
            <v>工</v>
          </cell>
          <cell r="N64">
            <v>1.2</v>
          </cell>
          <cell r="O64">
            <v>530</v>
          </cell>
          <cell r="P64">
            <v>636</v>
          </cell>
          <cell r="R64" t="str">
            <v xml:space="preserve"> 甲式橡膠伸縮縫</v>
          </cell>
          <cell r="T64" t="str">
            <v>m</v>
          </cell>
          <cell r="U64">
            <v>1</v>
          </cell>
          <cell r="Y64" t="str">
            <v xml:space="preserve"> 填縫材料</v>
          </cell>
          <cell r="AA64" t="str">
            <v>式</v>
          </cell>
          <cell r="AB64">
            <v>1</v>
          </cell>
          <cell r="AF64" t="str">
            <v xml:space="preserve"> 工具搬運及損耗</v>
          </cell>
          <cell r="AG64" t="str">
            <v>約工資部份3%</v>
          </cell>
          <cell r="AH64" t="str">
            <v>式</v>
          </cell>
          <cell r="AI64">
            <v>1</v>
          </cell>
        </row>
        <row r="65">
          <cell r="A65" t="str">
            <v>a188</v>
          </cell>
          <cell r="B65" t="str">
            <v xml:space="preserve"> 甲式齒型伸縮縫</v>
          </cell>
          <cell r="C65" t="str">
            <v>m</v>
          </cell>
          <cell r="D65" t="str">
            <v xml:space="preserve"> 一般技工</v>
          </cell>
          <cell r="E65">
            <v>0</v>
          </cell>
          <cell r="F65" t="str">
            <v>工</v>
          </cell>
          <cell r="G65">
            <v>2.5</v>
          </cell>
          <cell r="H65">
            <v>720</v>
          </cell>
          <cell r="I65">
            <v>1800</v>
          </cell>
          <cell r="K65" t="str">
            <v xml:space="preserve"> 普 通 工</v>
          </cell>
          <cell r="L65">
            <v>0</v>
          </cell>
          <cell r="M65" t="str">
            <v>工</v>
          </cell>
          <cell r="N65">
            <v>2.5</v>
          </cell>
          <cell r="O65">
            <v>530</v>
          </cell>
          <cell r="P65">
            <v>1325</v>
          </cell>
          <cell r="R65" t="str">
            <v xml:space="preserve"> 甲式齒型伸縮縫</v>
          </cell>
          <cell r="T65" t="str">
            <v>m</v>
          </cell>
          <cell r="U65">
            <v>1</v>
          </cell>
          <cell r="Y65" t="str">
            <v xml:space="preserve"> 零星工料費</v>
          </cell>
          <cell r="AA65" t="str">
            <v>式</v>
          </cell>
          <cell r="AB65">
            <v>1</v>
          </cell>
          <cell r="AF65" t="str">
            <v>350kg/c㎡混凝土</v>
          </cell>
          <cell r="AH65" t="str">
            <v></v>
          </cell>
          <cell r="AI65">
            <v>0.13</v>
          </cell>
          <cell r="AL65" t="str">
            <v>約伸縮縫料價10%</v>
          </cell>
          <cell r="AM65" t="str">
            <v xml:space="preserve"> 工具搬運及損耗</v>
          </cell>
          <cell r="AN65" t="str">
            <v>約工資部份3%</v>
          </cell>
          <cell r="AO65" t="str">
            <v>式</v>
          </cell>
          <cell r="AP65">
            <v>1</v>
          </cell>
        </row>
        <row r="66">
          <cell r="A66" t="str">
            <v>a191</v>
          </cell>
          <cell r="B66" t="str">
            <v xml:space="preserve"> 單排工作架</v>
          </cell>
          <cell r="C66" t="str">
            <v></v>
          </cell>
          <cell r="D66" t="str">
            <v xml:space="preserve"> 孟宗竹損耗</v>
          </cell>
          <cell r="F66" t="str">
            <v>m</v>
          </cell>
          <cell r="G66">
            <v>0.25</v>
          </cell>
          <cell r="K66" t="str">
            <v xml:space="preserve"> 木料損耗</v>
          </cell>
          <cell r="M66" t="str">
            <v>才</v>
          </cell>
          <cell r="N66">
            <v>0.3</v>
          </cell>
          <cell r="R66" t="str">
            <v xml:space="preserve"> #12鍍鋅鐵絲</v>
          </cell>
          <cell r="T66" t="str">
            <v>kg</v>
          </cell>
          <cell r="U66">
            <v>1.1000000000000001</v>
          </cell>
          <cell r="Y66" t="str">
            <v xml:space="preserve"> 一般技工</v>
          </cell>
          <cell r="Z66">
            <v>0</v>
          </cell>
          <cell r="AA66" t="str">
            <v>工</v>
          </cell>
          <cell r="AB66">
            <v>0.02</v>
          </cell>
          <cell r="AC66">
            <v>720</v>
          </cell>
          <cell r="AD66">
            <v>14.4</v>
          </cell>
          <cell r="AF66" t="str">
            <v xml:space="preserve"> 工具搬運及損耗</v>
          </cell>
          <cell r="AG66" t="str">
            <v>約工資部份3%</v>
          </cell>
          <cell r="AH66" t="str">
            <v>式</v>
          </cell>
          <cell r="AI66">
            <v>1</v>
          </cell>
        </row>
        <row r="67">
          <cell r="A67" t="str">
            <v>a194</v>
          </cell>
          <cell r="B67" t="str">
            <v xml:space="preserve"> 乙種鐵絲蛇籠</v>
          </cell>
          <cell r="C67" t="str">
            <v>m</v>
          </cell>
          <cell r="D67" t="str">
            <v xml:space="preserve"> 特種技工</v>
          </cell>
          <cell r="E67">
            <v>0</v>
          </cell>
          <cell r="F67" t="str">
            <v>工</v>
          </cell>
          <cell r="G67">
            <v>0.09</v>
          </cell>
          <cell r="H67">
            <v>800</v>
          </cell>
          <cell r="I67">
            <v>72</v>
          </cell>
          <cell r="K67" t="str">
            <v xml:space="preserve"> 半 技 工</v>
          </cell>
          <cell r="M67" t="str">
            <v>工</v>
          </cell>
          <cell r="N67">
            <v>0.05</v>
          </cell>
          <cell r="O67">
            <v>560</v>
          </cell>
          <cell r="R67" t="str">
            <v xml:space="preserve"> 普 通 工</v>
          </cell>
          <cell r="S67">
            <v>0</v>
          </cell>
          <cell r="T67" t="str">
            <v>工</v>
          </cell>
          <cell r="U67">
            <v>0.1</v>
          </cell>
          <cell r="V67">
            <v>530</v>
          </cell>
          <cell r="W67">
            <v>53</v>
          </cell>
          <cell r="Y67" t="str">
            <v xml:space="preserve"> 塊  石</v>
          </cell>
          <cell r="Z67" t="str">
            <v>φ25~30cm</v>
          </cell>
          <cell r="AA67" t="str">
            <v></v>
          </cell>
          <cell r="AB67">
            <v>0.23</v>
          </cell>
          <cell r="AF67" t="str">
            <v xml:space="preserve"> 工具搬運及損耗</v>
          </cell>
          <cell r="AG67" t="str">
            <v>約工資部份3%</v>
          </cell>
          <cell r="AH67" t="str">
            <v>式</v>
          </cell>
          <cell r="AI67">
            <v>1</v>
          </cell>
        </row>
        <row r="68">
          <cell r="A68" t="str">
            <v>a199</v>
          </cell>
          <cell r="B68" t="str">
            <v xml:space="preserve"> 箱型網籠內填塊石</v>
          </cell>
          <cell r="C68" t="str">
            <v></v>
          </cell>
          <cell r="D68" t="str">
            <v xml:space="preserve"> 塊  石</v>
          </cell>
          <cell r="E68" t="str">
            <v>φ25~30cm</v>
          </cell>
          <cell r="F68" t="str">
            <v></v>
          </cell>
          <cell r="G68">
            <v>1</v>
          </cell>
          <cell r="K68" t="str">
            <v xml:space="preserve"> 普 通 工</v>
          </cell>
          <cell r="L68">
            <v>0</v>
          </cell>
          <cell r="M68" t="str">
            <v>工</v>
          </cell>
          <cell r="N68">
            <v>0.3</v>
          </cell>
          <cell r="O68">
            <v>530</v>
          </cell>
          <cell r="P68">
            <v>159</v>
          </cell>
          <cell r="R68" t="str">
            <v xml:space="preserve"> 工具搬運及損耗</v>
          </cell>
          <cell r="S68" t="str">
            <v>約工資部份3%</v>
          </cell>
          <cell r="T68" t="str">
            <v>式</v>
          </cell>
          <cell r="U68">
            <v>1</v>
          </cell>
        </row>
        <row r="69">
          <cell r="A69" t="str">
            <v>a200</v>
          </cell>
          <cell r="B69" t="str">
            <v xml:space="preserve"> 坡面整理</v>
          </cell>
          <cell r="C69" t="str">
            <v>100</v>
          </cell>
          <cell r="D69" t="str">
            <v xml:space="preserve"> 普 通 工</v>
          </cell>
          <cell r="E69">
            <v>0</v>
          </cell>
          <cell r="F69" t="str">
            <v>工</v>
          </cell>
          <cell r="G69">
            <v>1.5</v>
          </cell>
          <cell r="H69">
            <v>530</v>
          </cell>
          <cell r="I69">
            <v>795</v>
          </cell>
          <cell r="K69" t="str">
            <v xml:space="preserve"> 工具搬運及損耗</v>
          </cell>
          <cell r="L69" t="str">
            <v>約工資部份3%</v>
          </cell>
          <cell r="M69" t="str">
            <v>式</v>
          </cell>
          <cell r="N69">
            <v>1</v>
          </cell>
        </row>
        <row r="70">
          <cell r="A70" t="str">
            <v>a203</v>
          </cell>
          <cell r="B70" t="str">
            <v xml:space="preserve"> 邊坡噴植</v>
          </cell>
          <cell r="C70" t="str">
            <v></v>
          </cell>
          <cell r="D70" t="str">
            <v xml:space="preserve"> 普 通 工</v>
          </cell>
          <cell r="E70" t="str">
            <v>整坡</v>
          </cell>
          <cell r="F70" t="str">
            <v>工</v>
          </cell>
          <cell r="G70">
            <v>0.02</v>
          </cell>
          <cell r="H70">
            <v>530</v>
          </cell>
          <cell r="I70">
            <v>10.6</v>
          </cell>
          <cell r="K70" t="str">
            <v xml:space="preserve"> 化學肥料</v>
          </cell>
          <cell r="L70" t="str">
            <v>台肥43號</v>
          </cell>
          <cell r="M70" t="str">
            <v>kg</v>
          </cell>
          <cell r="N70">
            <v>0.05</v>
          </cell>
          <cell r="Q70" t="str">
            <v>另計</v>
          </cell>
          <cell r="R70" t="str">
            <v xml:space="preserve"> 有機肥料</v>
          </cell>
          <cell r="S70" t="str">
            <v xml:space="preserve"> </v>
          </cell>
          <cell r="T70" t="str">
            <v>kg</v>
          </cell>
          <cell r="U70">
            <v>2</v>
          </cell>
          <cell r="X70" t="str">
            <v>另計</v>
          </cell>
          <cell r="Y70" t="str">
            <v xml:space="preserve"> 普 通 工</v>
          </cell>
          <cell r="Z70" t="str">
            <v>施肥</v>
          </cell>
          <cell r="AA70" t="str">
            <v>工</v>
          </cell>
          <cell r="AB70">
            <v>1E-3</v>
          </cell>
          <cell r="AC70">
            <v>530</v>
          </cell>
          <cell r="AD70">
            <v>0.53</v>
          </cell>
          <cell r="AF70" t="str">
            <v xml:space="preserve"> 黏著劑及水</v>
          </cell>
          <cell r="AH70" t="str">
            <v>式</v>
          </cell>
          <cell r="AI70">
            <v>1</v>
          </cell>
          <cell r="AM70" t="str">
            <v xml:space="preserve"> 種  子</v>
          </cell>
          <cell r="AO70" t="str">
            <v>kg</v>
          </cell>
          <cell r="AP70">
            <v>1.4999999999999999E-2</v>
          </cell>
          <cell r="AS70" t="str">
            <v>另計</v>
          </cell>
          <cell r="AT70" t="str">
            <v xml:space="preserve"> 噴植機具租金</v>
          </cell>
          <cell r="AU70" t="str">
            <v>含噴植、油料</v>
          </cell>
          <cell r="AV70" t="str">
            <v>式</v>
          </cell>
          <cell r="AW70">
            <v>1</v>
          </cell>
          <cell r="BA70" t="str">
            <v xml:space="preserve"> 地被植物養護費</v>
          </cell>
          <cell r="BC70" t="str">
            <v></v>
          </cell>
          <cell r="BD70">
            <v>1</v>
          </cell>
          <cell r="BH70" t="str">
            <v xml:space="preserve"> 工具搬運及損耗</v>
          </cell>
          <cell r="BI70" t="str">
            <v>約勞力部份3%</v>
          </cell>
          <cell r="BJ70" t="str">
            <v>式</v>
          </cell>
          <cell r="BK70">
            <v>1</v>
          </cell>
        </row>
        <row r="71">
          <cell r="A71" t="str">
            <v>a204</v>
          </cell>
          <cell r="B71" t="str">
            <v xml:space="preserve"> 客  土</v>
          </cell>
          <cell r="C71" t="str">
            <v></v>
          </cell>
          <cell r="D71" t="str">
            <v xml:space="preserve"> 購 土 費</v>
          </cell>
          <cell r="E71" t="str">
            <v>有機壤土</v>
          </cell>
          <cell r="F71" t="str">
            <v></v>
          </cell>
          <cell r="G71">
            <v>1</v>
          </cell>
          <cell r="K71" t="str">
            <v xml:space="preserve"> 普 通 工</v>
          </cell>
          <cell r="L71" t="str">
            <v>裝卸</v>
          </cell>
          <cell r="M71" t="str">
            <v>工</v>
          </cell>
          <cell r="N71">
            <v>0.04</v>
          </cell>
          <cell r="O71">
            <v>530</v>
          </cell>
          <cell r="P71">
            <v>21.2</v>
          </cell>
          <cell r="Q71" t="str">
            <v xml:space="preserve"> </v>
          </cell>
          <cell r="R71" t="str">
            <v xml:space="preserve"> 運  費</v>
          </cell>
          <cell r="S71" t="str">
            <v xml:space="preserve"> </v>
          </cell>
          <cell r="T71" t="str">
            <v></v>
          </cell>
          <cell r="U71">
            <v>1</v>
          </cell>
          <cell r="X71" t="str">
            <v xml:space="preserve"> </v>
          </cell>
          <cell r="Y71" t="str">
            <v xml:space="preserve"> 工具搬運及損耗</v>
          </cell>
          <cell r="Z71" t="str">
            <v>約工資部份3%</v>
          </cell>
          <cell r="AA71" t="str">
            <v>式</v>
          </cell>
          <cell r="AB71">
            <v>1</v>
          </cell>
        </row>
        <row r="72">
          <cell r="A72" t="str">
            <v>a206</v>
          </cell>
          <cell r="B72" t="str">
            <v xml:space="preserve"> 植生帶鋪植</v>
          </cell>
          <cell r="C72" t="str">
            <v></v>
          </cell>
          <cell r="D72" t="str">
            <v xml:space="preserve"> 植 生 帶</v>
          </cell>
          <cell r="F72" t="str">
            <v></v>
          </cell>
          <cell r="G72">
            <v>1.05</v>
          </cell>
          <cell r="J72" t="str">
            <v>另計</v>
          </cell>
          <cell r="K72" t="str">
            <v xml:space="preserve"> 普 通 工</v>
          </cell>
          <cell r="L72" t="str">
            <v>整坡</v>
          </cell>
          <cell r="M72" t="str">
            <v>工</v>
          </cell>
          <cell r="N72">
            <v>0.02</v>
          </cell>
          <cell r="O72">
            <v>530</v>
          </cell>
          <cell r="P72">
            <v>10.6</v>
          </cell>
          <cell r="R72" t="str">
            <v xml:space="preserve"> 一般技工</v>
          </cell>
          <cell r="S72" t="str">
            <v>鋪植</v>
          </cell>
          <cell r="T72" t="str">
            <v>工</v>
          </cell>
          <cell r="U72">
            <v>4.0000000000000001E-3</v>
          </cell>
          <cell r="V72">
            <v>720</v>
          </cell>
          <cell r="W72">
            <v>2.88</v>
          </cell>
          <cell r="Y72" t="str">
            <v xml:space="preserve"> 有機肥料</v>
          </cell>
          <cell r="Z72" t="str">
            <v xml:space="preserve"> </v>
          </cell>
          <cell r="AA72" t="str">
            <v>kg</v>
          </cell>
          <cell r="AB72">
            <v>2</v>
          </cell>
          <cell r="AE72" t="str">
            <v>另計</v>
          </cell>
          <cell r="AF72" t="str">
            <v xml:space="preserve"> 化學肥料</v>
          </cell>
          <cell r="AG72" t="str">
            <v>台肥43號</v>
          </cell>
          <cell r="AH72" t="str">
            <v>kg</v>
          </cell>
          <cell r="AI72">
            <v>0.05</v>
          </cell>
          <cell r="AL72" t="str">
            <v>另計</v>
          </cell>
          <cell r="AM72" t="str">
            <v xml:space="preserve"> 普 通 工</v>
          </cell>
          <cell r="AN72" t="str">
            <v>施肥</v>
          </cell>
          <cell r="AO72" t="str">
            <v>工</v>
          </cell>
          <cell r="AP72">
            <v>1E-3</v>
          </cell>
          <cell r="AQ72">
            <v>530</v>
          </cell>
          <cell r="AR72">
            <v>0.53</v>
          </cell>
          <cell r="AT72" t="str">
            <v xml:space="preserve"> 地被植物養護費</v>
          </cell>
          <cell r="AV72" t="str">
            <v></v>
          </cell>
          <cell r="AW72">
            <v>1</v>
          </cell>
          <cell r="BA72" t="str">
            <v xml:space="preserve"> 補  植</v>
          </cell>
          <cell r="BB72" t="str">
            <v>約植生帶材料費</v>
          </cell>
          <cell r="BC72" t="str">
            <v>式</v>
          </cell>
          <cell r="BD72">
            <v>1</v>
          </cell>
          <cell r="BH72" t="str">
            <v xml:space="preserve"> U型鐵絲</v>
          </cell>
          <cell r="BI72" t="str">
            <v>#8, L=25cm</v>
          </cell>
          <cell r="BJ72" t="str">
            <v>式</v>
          </cell>
          <cell r="BK72">
            <v>1</v>
          </cell>
          <cell r="BO72" t="str">
            <v xml:space="preserve"> 工具搬運及損耗</v>
          </cell>
          <cell r="BP72" t="str">
            <v>約勞力部份3%</v>
          </cell>
          <cell r="BQ72" t="str">
            <v>式</v>
          </cell>
          <cell r="BR72">
            <v>1</v>
          </cell>
        </row>
        <row r="73">
          <cell r="A73" t="str">
            <v>a207</v>
          </cell>
          <cell r="B73" t="str">
            <v xml:space="preserve"> 打樁編柵</v>
          </cell>
          <cell r="C73" t="str">
            <v>m</v>
          </cell>
          <cell r="D73" t="str">
            <v xml:space="preserve"> 編柵材料</v>
          </cell>
          <cell r="F73" t="str">
            <v>m</v>
          </cell>
          <cell r="G73">
            <v>1</v>
          </cell>
          <cell r="K73" t="str">
            <v xml:space="preserve"> 木  樁</v>
          </cell>
          <cell r="L73" t="str">
            <v>φ3~8cm</v>
          </cell>
          <cell r="M73" t="str">
            <v>支</v>
          </cell>
          <cell r="N73">
            <v>2</v>
          </cell>
          <cell r="R73" t="str">
            <v xml:space="preserve"> 普 通 工</v>
          </cell>
          <cell r="S73">
            <v>0</v>
          </cell>
          <cell r="T73" t="str">
            <v>工</v>
          </cell>
          <cell r="U73">
            <v>0.2</v>
          </cell>
          <cell r="V73">
            <v>530</v>
          </cell>
          <cell r="W73">
            <v>106</v>
          </cell>
          <cell r="Y73" t="str">
            <v xml:space="preserve"> 材料小搬運</v>
          </cell>
          <cell r="AA73" t="str">
            <v>式</v>
          </cell>
          <cell r="AB73">
            <v>1</v>
          </cell>
          <cell r="AF73" t="str">
            <v xml:space="preserve"> 工具搬運及損耗</v>
          </cell>
          <cell r="AG73" t="str">
            <v>約工資部份3%</v>
          </cell>
          <cell r="AH73" t="str">
            <v>式</v>
          </cell>
          <cell r="AI73">
            <v>1</v>
          </cell>
        </row>
        <row r="74">
          <cell r="A74" t="str">
            <v>a208</v>
          </cell>
          <cell r="B74" t="str">
            <v xml:space="preserve"> 稻草蓆敷蓋</v>
          </cell>
          <cell r="C74" t="str">
            <v></v>
          </cell>
          <cell r="D74" t="str">
            <v xml:space="preserve"> 稻 草 蓆</v>
          </cell>
          <cell r="E74" t="str">
            <v xml:space="preserve"> </v>
          </cell>
          <cell r="F74" t="str">
            <v></v>
          </cell>
          <cell r="G74">
            <v>1</v>
          </cell>
          <cell r="J74" t="str">
            <v xml:space="preserve"> </v>
          </cell>
          <cell r="K74" t="str">
            <v xml:space="preserve"> 普 通 工</v>
          </cell>
          <cell r="L74" t="str">
            <v xml:space="preserve"> </v>
          </cell>
          <cell r="M74" t="str">
            <v>工</v>
          </cell>
          <cell r="N74">
            <v>2.5000000000000001E-3</v>
          </cell>
          <cell r="O74">
            <v>530</v>
          </cell>
          <cell r="P74">
            <v>1.325</v>
          </cell>
          <cell r="R74" t="str">
            <v xml:space="preserve"> U型鐵絲固定器</v>
          </cell>
          <cell r="T74" t="str">
            <v>式</v>
          </cell>
          <cell r="U74">
            <v>1</v>
          </cell>
          <cell r="Y74" t="str">
            <v xml:space="preserve"> 工具搬運及損耗</v>
          </cell>
          <cell r="Z74" t="str">
            <v>約工資部份3%</v>
          </cell>
          <cell r="AA74" t="str">
            <v>式</v>
          </cell>
          <cell r="AB74">
            <v>1</v>
          </cell>
        </row>
        <row r="75">
          <cell r="A75" t="str">
            <v>a209</v>
          </cell>
          <cell r="B75" t="str">
            <v xml:space="preserve"> 地被植物栽植</v>
          </cell>
          <cell r="C75" t="str">
            <v></v>
          </cell>
          <cell r="D75" t="str">
            <v xml:space="preserve"> 普 通 工</v>
          </cell>
          <cell r="E75" t="str">
            <v>整坡、挖植溝</v>
          </cell>
          <cell r="F75" t="str">
            <v>工</v>
          </cell>
          <cell r="G75">
            <v>0.02</v>
          </cell>
          <cell r="H75">
            <v>530</v>
          </cell>
          <cell r="I75">
            <v>10.6</v>
          </cell>
          <cell r="J75" t="str">
            <v xml:space="preserve"> </v>
          </cell>
          <cell r="K75" t="str">
            <v xml:space="preserve"> 普 通 工</v>
          </cell>
          <cell r="L75" t="str">
            <v>草苗採集</v>
          </cell>
          <cell r="M75" t="str">
            <v>工</v>
          </cell>
          <cell r="N75">
            <v>1.4999999999999999E-2</v>
          </cell>
          <cell r="O75">
            <v>530</v>
          </cell>
          <cell r="P75">
            <v>7.9499999999999993</v>
          </cell>
          <cell r="R75" t="str">
            <v xml:space="preserve"> 一般技工</v>
          </cell>
          <cell r="S75" t="str">
            <v>種植</v>
          </cell>
          <cell r="T75" t="str">
            <v>工</v>
          </cell>
          <cell r="U75">
            <v>0.01</v>
          </cell>
          <cell r="V75">
            <v>720</v>
          </cell>
          <cell r="W75">
            <v>7.2</v>
          </cell>
          <cell r="Y75" t="str">
            <v xml:space="preserve"> 化學肥料</v>
          </cell>
          <cell r="Z75" t="str">
            <v>台肥43號</v>
          </cell>
          <cell r="AA75" t="str">
            <v>kg</v>
          </cell>
          <cell r="AB75">
            <v>0.05</v>
          </cell>
          <cell r="AE75" t="str">
            <v>另計</v>
          </cell>
          <cell r="AF75" t="str">
            <v xml:space="preserve"> 有機肥料</v>
          </cell>
          <cell r="AG75" t="str">
            <v xml:space="preserve"> </v>
          </cell>
          <cell r="AH75" t="str">
            <v>kg</v>
          </cell>
          <cell r="AI75">
            <v>2</v>
          </cell>
          <cell r="AL75" t="str">
            <v>另計</v>
          </cell>
          <cell r="AM75" t="str">
            <v xml:space="preserve"> 普 通 工</v>
          </cell>
          <cell r="AN75" t="str">
            <v>施肥</v>
          </cell>
          <cell r="AO75" t="str">
            <v>工</v>
          </cell>
          <cell r="AP75">
            <v>1E-3</v>
          </cell>
          <cell r="AQ75">
            <v>530</v>
          </cell>
          <cell r="AR75">
            <v>0.53</v>
          </cell>
          <cell r="AT75" t="str">
            <v xml:space="preserve"> 地被植物養護費</v>
          </cell>
          <cell r="AV75" t="str">
            <v></v>
          </cell>
          <cell r="AW75">
            <v>1</v>
          </cell>
          <cell r="AZ75" t="str">
            <v>詳分析表</v>
          </cell>
          <cell r="BA75" t="str">
            <v xml:space="preserve"> 補  植</v>
          </cell>
          <cell r="BB75" t="str">
            <v>約工資部份10%</v>
          </cell>
          <cell r="BC75" t="str">
            <v>式</v>
          </cell>
          <cell r="BD75">
            <v>1</v>
          </cell>
          <cell r="BH75" t="str">
            <v xml:space="preserve"> 工具搬運及損耗</v>
          </cell>
          <cell r="BI75" t="str">
            <v>約工資部份3%</v>
          </cell>
          <cell r="BJ75" t="str">
            <v>式</v>
          </cell>
          <cell r="BK75">
            <v>1</v>
          </cell>
        </row>
        <row r="76">
          <cell r="A76" t="str">
            <v>a210</v>
          </cell>
          <cell r="B76" t="str">
            <v xml:space="preserve"> 地被植物養護費</v>
          </cell>
          <cell r="C76" t="str">
            <v></v>
          </cell>
          <cell r="D76" t="str">
            <v xml:space="preserve"> 化學肥料</v>
          </cell>
          <cell r="E76" t="str">
            <v>台肥43號</v>
          </cell>
          <cell r="F76" t="str">
            <v>kg</v>
          </cell>
          <cell r="G76">
            <v>0.01</v>
          </cell>
          <cell r="J76" t="str">
            <v>另計</v>
          </cell>
          <cell r="K76" t="str">
            <v xml:space="preserve"> 普 通 工</v>
          </cell>
          <cell r="L76" t="str">
            <v>施肥</v>
          </cell>
          <cell r="M76" t="str">
            <v>工</v>
          </cell>
          <cell r="N76">
            <v>8.0000000000000004E-4</v>
          </cell>
          <cell r="O76">
            <v>530</v>
          </cell>
          <cell r="P76">
            <v>0.42400000000000004</v>
          </cell>
          <cell r="R76" t="str">
            <v xml:space="preserve"> 水車、司機及水</v>
          </cell>
          <cell r="T76" t="str">
            <v>式</v>
          </cell>
          <cell r="U76">
            <v>1</v>
          </cell>
          <cell r="Y76" t="str">
            <v xml:space="preserve"> 普 通 工</v>
          </cell>
          <cell r="Z76" t="str">
            <v>澆水</v>
          </cell>
          <cell r="AA76" t="str">
            <v>工</v>
          </cell>
          <cell r="AB76">
            <v>0.01</v>
          </cell>
          <cell r="AC76">
            <v>530</v>
          </cell>
          <cell r="AD76">
            <v>5.3</v>
          </cell>
          <cell r="AF76" t="str">
            <v xml:space="preserve"> 工具搬運及損耗</v>
          </cell>
          <cell r="AG76" t="str">
            <v>約工資部份3%</v>
          </cell>
          <cell r="AH76" t="str">
            <v>式</v>
          </cell>
          <cell r="AI76">
            <v>1</v>
          </cell>
        </row>
        <row r="77">
          <cell r="A77" t="str">
            <v>a211</v>
          </cell>
          <cell r="B77" t="str">
            <v xml:space="preserve"> 草花栽植</v>
          </cell>
          <cell r="C77" t="str">
            <v>株</v>
          </cell>
          <cell r="D77" t="str">
            <v xml:space="preserve"> 草  花</v>
          </cell>
          <cell r="F77" t="str">
            <v>株</v>
          </cell>
          <cell r="G77">
            <v>1</v>
          </cell>
          <cell r="J77" t="str">
            <v>另計</v>
          </cell>
          <cell r="K77" t="str">
            <v xml:space="preserve"> 一般技工</v>
          </cell>
          <cell r="L77" t="str">
            <v>種植</v>
          </cell>
          <cell r="M77" t="str">
            <v>工</v>
          </cell>
          <cell r="N77">
            <v>2E-3</v>
          </cell>
          <cell r="O77">
            <v>720</v>
          </cell>
          <cell r="P77">
            <v>1.44</v>
          </cell>
          <cell r="R77" t="str">
            <v xml:space="preserve"> 普 通 工</v>
          </cell>
          <cell r="S77" t="str">
            <v>整坡、挖穴</v>
          </cell>
          <cell r="T77" t="str">
            <v>工</v>
          </cell>
          <cell r="U77">
            <v>2E-3</v>
          </cell>
          <cell r="V77">
            <v>530</v>
          </cell>
          <cell r="W77">
            <v>1.06</v>
          </cell>
          <cell r="Y77" t="str">
            <v xml:space="preserve"> 化學肥料</v>
          </cell>
          <cell r="Z77" t="str">
            <v>台肥43號</v>
          </cell>
          <cell r="AA77" t="str">
            <v>kg</v>
          </cell>
          <cell r="AB77">
            <v>6.0000000000000001E-3</v>
          </cell>
          <cell r="AE77" t="str">
            <v>另計</v>
          </cell>
          <cell r="AF77" t="str">
            <v xml:space="preserve"> 有機肥料</v>
          </cell>
          <cell r="AG77" t="str">
            <v xml:space="preserve"> </v>
          </cell>
          <cell r="AH77" t="str">
            <v>kg</v>
          </cell>
          <cell r="AI77">
            <v>0.2</v>
          </cell>
          <cell r="AL77" t="str">
            <v>另計</v>
          </cell>
          <cell r="AM77" t="str">
            <v xml:space="preserve"> 普 通 工</v>
          </cell>
          <cell r="AN77" t="str">
            <v>施肥</v>
          </cell>
          <cell r="AO77" t="str">
            <v>工</v>
          </cell>
          <cell r="AP77">
            <v>2.0000000000000001E-4</v>
          </cell>
          <cell r="AQ77">
            <v>530</v>
          </cell>
          <cell r="AR77">
            <v>0.10600000000000001</v>
          </cell>
          <cell r="AT77" t="str">
            <v xml:space="preserve"> 草花養護費</v>
          </cell>
          <cell r="AV77" t="str">
            <v>株</v>
          </cell>
          <cell r="AW77">
            <v>1</v>
          </cell>
          <cell r="AZ77" t="str">
            <v>詳分析表</v>
          </cell>
          <cell r="BA77" t="str">
            <v xml:space="preserve"> 補  植</v>
          </cell>
          <cell r="BB77" t="str">
            <v>約勞力部份10%</v>
          </cell>
          <cell r="BC77" t="str">
            <v>式</v>
          </cell>
          <cell r="BD77">
            <v>1</v>
          </cell>
          <cell r="BH77" t="str">
            <v xml:space="preserve"> 工具搬運及損耗</v>
          </cell>
          <cell r="BI77" t="str">
            <v>約勞力部份3%</v>
          </cell>
          <cell r="BJ77" t="str">
            <v>式</v>
          </cell>
          <cell r="BK77">
            <v>1</v>
          </cell>
        </row>
        <row r="78">
          <cell r="A78" t="str">
            <v>a212</v>
          </cell>
          <cell r="B78" t="str">
            <v xml:space="preserve"> 草花栽植養護費</v>
          </cell>
          <cell r="C78" t="str">
            <v>株</v>
          </cell>
          <cell r="D78" t="str">
            <v xml:space="preserve"> 化學肥料</v>
          </cell>
          <cell r="E78" t="str">
            <v>台肥43號</v>
          </cell>
          <cell r="F78" t="str">
            <v>kg</v>
          </cell>
          <cell r="G78">
            <v>0.01</v>
          </cell>
          <cell r="J78" t="str">
            <v>另計</v>
          </cell>
          <cell r="K78" t="str">
            <v xml:space="preserve"> 普 通 工</v>
          </cell>
          <cell r="L78" t="str">
            <v>施肥</v>
          </cell>
          <cell r="M78" t="str">
            <v>工</v>
          </cell>
          <cell r="N78">
            <v>1E-4</v>
          </cell>
          <cell r="O78">
            <v>530</v>
          </cell>
          <cell r="P78">
            <v>5.3000000000000005E-2</v>
          </cell>
          <cell r="R78" t="str">
            <v xml:space="preserve"> 水車、司機及水</v>
          </cell>
          <cell r="T78" t="str">
            <v>式</v>
          </cell>
          <cell r="U78">
            <v>1</v>
          </cell>
          <cell r="Y78" t="str">
            <v xml:space="preserve"> 普 通 工</v>
          </cell>
          <cell r="Z78" t="str">
            <v>澆水</v>
          </cell>
          <cell r="AA78" t="str">
            <v>工</v>
          </cell>
          <cell r="AB78">
            <v>1E-3</v>
          </cell>
          <cell r="AC78">
            <v>530</v>
          </cell>
          <cell r="AD78">
            <v>0.53</v>
          </cell>
          <cell r="AF78" t="str">
            <v xml:space="preserve"> 工具搬運及損耗</v>
          </cell>
          <cell r="AG78" t="str">
            <v>約工資部份3%</v>
          </cell>
          <cell r="AH78" t="str">
            <v>式</v>
          </cell>
          <cell r="AI78">
            <v>1</v>
          </cell>
        </row>
        <row r="79">
          <cell r="A79" t="str">
            <v>a213</v>
          </cell>
          <cell r="B79" t="str">
            <v xml:space="preserve"> 灌木種植</v>
          </cell>
          <cell r="C79" t="str">
            <v>株</v>
          </cell>
          <cell r="D79" t="str">
            <v xml:space="preserve"> 苗  木</v>
          </cell>
          <cell r="E79" t="str">
            <v>高30~60cm</v>
          </cell>
          <cell r="F79" t="str">
            <v>株</v>
          </cell>
          <cell r="G79">
            <v>1</v>
          </cell>
          <cell r="J79" t="str">
            <v>材料另計</v>
          </cell>
          <cell r="K79" t="str">
            <v xml:space="preserve"> 一般技工</v>
          </cell>
          <cell r="L79" t="str">
            <v>種植</v>
          </cell>
          <cell r="M79" t="str">
            <v>工</v>
          </cell>
          <cell r="N79">
            <v>0.01</v>
          </cell>
          <cell r="O79">
            <v>720</v>
          </cell>
          <cell r="P79">
            <v>7.2</v>
          </cell>
          <cell r="R79" t="str">
            <v xml:space="preserve"> 普 通 工</v>
          </cell>
          <cell r="S79" t="str">
            <v xml:space="preserve"> </v>
          </cell>
          <cell r="T79" t="str">
            <v>工</v>
          </cell>
          <cell r="U79">
            <v>1.2999999999999999E-2</v>
          </cell>
          <cell r="V79">
            <v>530</v>
          </cell>
          <cell r="W79">
            <v>6.89</v>
          </cell>
          <cell r="Y79" t="str">
            <v xml:space="preserve"> 有機肥料</v>
          </cell>
          <cell r="Z79" t="str">
            <v xml:space="preserve"> </v>
          </cell>
          <cell r="AA79" t="str">
            <v>kg</v>
          </cell>
          <cell r="AB79">
            <v>2</v>
          </cell>
          <cell r="AE79" t="str">
            <v>另計</v>
          </cell>
          <cell r="AF79" t="str">
            <v xml:space="preserve"> 普 通 工</v>
          </cell>
          <cell r="AG79" t="str">
            <v>施肥</v>
          </cell>
          <cell r="AH79" t="str">
            <v>工</v>
          </cell>
          <cell r="AI79">
            <v>2E-3</v>
          </cell>
          <cell r="AJ79">
            <v>530</v>
          </cell>
          <cell r="AK79">
            <v>1.06</v>
          </cell>
          <cell r="AL79" t="str">
            <v xml:space="preserve"> </v>
          </cell>
          <cell r="AM79" t="str">
            <v xml:space="preserve"> 客  土</v>
          </cell>
          <cell r="AN79" t="str">
            <v xml:space="preserve"> </v>
          </cell>
          <cell r="AO79" t="str">
            <v></v>
          </cell>
          <cell r="AP79">
            <v>0.05</v>
          </cell>
          <cell r="AT79" t="str">
            <v xml:space="preserve"> 普 通 工</v>
          </cell>
          <cell r="AU79" t="str">
            <v>施放客土</v>
          </cell>
          <cell r="AV79" t="str">
            <v>工</v>
          </cell>
          <cell r="AW79">
            <v>0.01</v>
          </cell>
          <cell r="AX79">
            <v>530</v>
          </cell>
          <cell r="AY79">
            <v>5.3</v>
          </cell>
          <cell r="AZ79" t="str">
            <v xml:space="preserve"> </v>
          </cell>
          <cell r="BA79" t="str">
            <v xml:space="preserve"> 灌木養護費</v>
          </cell>
          <cell r="BC79" t="str">
            <v>株</v>
          </cell>
          <cell r="BD79">
            <v>1</v>
          </cell>
          <cell r="BG79" t="str">
            <v>詳分析表</v>
          </cell>
          <cell r="BH79" t="str">
            <v xml:space="preserve"> 補  植</v>
          </cell>
          <cell r="BI79" t="str">
            <v>約苗木部份10%</v>
          </cell>
          <cell r="BJ79" t="str">
            <v>式</v>
          </cell>
          <cell r="BK79">
            <v>1</v>
          </cell>
          <cell r="BO79" t="str">
            <v xml:space="preserve"> 工具搬運及損耗</v>
          </cell>
          <cell r="BP79" t="str">
            <v>約工資部份3%</v>
          </cell>
          <cell r="BQ79" t="str">
            <v>式</v>
          </cell>
          <cell r="BR79">
            <v>1</v>
          </cell>
        </row>
        <row r="80">
          <cell r="A80" t="str">
            <v>a214</v>
          </cell>
          <cell r="B80" t="str">
            <v xml:space="preserve"> 灌木養護費</v>
          </cell>
          <cell r="C80" t="str">
            <v>株</v>
          </cell>
          <cell r="D80" t="str">
            <v xml:space="preserve"> 化學肥料</v>
          </cell>
          <cell r="E80" t="str">
            <v>台肥43號</v>
          </cell>
          <cell r="F80" t="str">
            <v>kg</v>
          </cell>
          <cell r="G80">
            <v>0.01</v>
          </cell>
          <cell r="J80" t="str">
            <v>另計</v>
          </cell>
          <cell r="K80" t="str">
            <v xml:space="preserve"> 普 通 工</v>
          </cell>
          <cell r="L80" t="str">
            <v>施肥</v>
          </cell>
          <cell r="M80" t="str">
            <v>工</v>
          </cell>
          <cell r="N80">
            <v>1E-3</v>
          </cell>
          <cell r="O80">
            <v>530</v>
          </cell>
          <cell r="P80">
            <v>0.53</v>
          </cell>
          <cell r="R80" t="str">
            <v xml:space="preserve"> 水車、司機及水</v>
          </cell>
          <cell r="S80" t="str">
            <v>10升/株</v>
          </cell>
          <cell r="T80" t="str">
            <v>式</v>
          </cell>
          <cell r="U80">
            <v>1</v>
          </cell>
          <cell r="Y80" t="str">
            <v xml:space="preserve"> 普 通 工</v>
          </cell>
          <cell r="Z80" t="str">
            <v>澆水</v>
          </cell>
          <cell r="AA80" t="str">
            <v>工</v>
          </cell>
          <cell r="AB80">
            <v>5.0000000000000001E-3</v>
          </cell>
          <cell r="AC80">
            <v>530</v>
          </cell>
          <cell r="AD80">
            <v>2.65</v>
          </cell>
          <cell r="AE80" t="str">
            <v xml:space="preserve"> </v>
          </cell>
          <cell r="AF80" t="str">
            <v xml:space="preserve"> 噴藥車租金</v>
          </cell>
          <cell r="AG80" t="str">
            <v>含農藥及水</v>
          </cell>
          <cell r="AH80" t="str">
            <v>式</v>
          </cell>
          <cell r="AI80">
            <v>1</v>
          </cell>
          <cell r="AL80" t="str">
            <v xml:space="preserve"> </v>
          </cell>
          <cell r="AM80" t="str">
            <v xml:space="preserve"> 一般技工</v>
          </cell>
          <cell r="AN80" t="str">
            <v>病蟲害防治</v>
          </cell>
          <cell r="AO80" t="str">
            <v>工</v>
          </cell>
          <cell r="AP80">
            <v>1E-3</v>
          </cell>
          <cell r="AQ80">
            <v>720</v>
          </cell>
          <cell r="AR80">
            <v>0.72</v>
          </cell>
          <cell r="AT80" t="str">
            <v xml:space="preserve"> 普 通 工</v>
          </cell>
          <cell r="AU80" t="str">
            <v>除草</v>
          </cell>
          <cell r="AV80" t="str">
            <v>工</v>
          </cell>
          <cell r="AW80">
            <v>2E-3</v>
          </cell>
          <cell r="AX80">
            <v>530</v>
          </cell>
          <cell r="AY80">
            <v>1.06</v>
          </cell>
          <cell r="AZ80" t="str">
            <v xml:space="preserve"> </v>
          </cell>
          <cell r="BA80" t="str">
            <v xml:space="preserve"> 工具搬運及損耗</v>
          </cell>
          <cell r="BB80" t="str">
            <v>約工資部份3%</v>
          </cell>
          <cell r="BC80" t="str">
            <v>式</v>
          </cell>
          <cell r="BD80">
            <v>1</v>
          </cell>
        </row>
        <row r="81">
          <cell r="A81" t="str">
            <v>a215</v>
          </cell>
          <cell r="B81" t="str">
            <v xml:space="preserve"> 喬木栽植</v>
          </cell>
          <cell r="C81" t="str">
            <v>株</v>
          </cell>
          <cell r="D81" t="str">
            <v xml:space="preserve"> 苗  木</v>
          </cell>
          <cell r="E81" t="str">
            <v>木徑3cm土球20cm</v>
          </cell>
          <cell r="F81" t="str">
            <v>株</v>
          </cell>
          <cell r="G81">
            <v>1</v>
          </cell>
          <cell r="J81" t="str">
            <v>材料另計</v>
          </cell>
          <cell r="K81" t="str">
            <v xml:space="preserve"> 普 通 工</v>
          </cell>
          <cell r="L81" t="str">
            <v>挖植穴60x60cm</v>
          </cell>
          <cell r="M81" t="str">
            <v>工</v>
          </cell>
          <cell r="N81">
            <v>0.04</v>
          </cell>
          <cell r="O81">
            <v>530</v>
          </cell>
          <cell r="P81">
            <v>21.2</v>
          </cell>
          <cell r="R81" t="str">
            <v xml:space="preserve"> 一般技工</v>
          </cell>
          <cell r="S81" t="str">
            <v>種植</v>
          </cell>
          <cell r="T81" t="str">
            <v>工</v>
          </cell>
          <cell r="U81">
            <v>0.01</v>
          </cell>
          <cell r="V81">
            <v>720</v>
          </cell>
          <cell r="W81">
            <v>7.2</v>
          </cell>
          <cell r="Y81" t="str">
            <v xml:space="preserve"> 有機肥料</v>
          </cell>
          <cell r="Z81" t="str">
            <v xml:space="preserve"> </v>
          </cell>
          <cell r="AA81" t="str">
            <v>kg</v>
          </cell>
          <cell r="AB81">
            <v>3</v>
          </cell>
          <cell r="AE81" t="str">
            <v>另計</v>
          </cell>
          <cell r="AF81" t="str">
            <v xml:space="preserve"> 客  土</v>
          </cell>
          <cell r="AG81" t="str">
            <v xml:space="preserve"> </v>
          </cell>
          <cell r="AH81" t="str">
            <v></v>
          </cell>
          <cell r="AI81">
            <v>0.17</v>
          </cell>
          <cell r="AL81" t="str">
            <v xml:space="preserve"> </v>
          </cell>
          <cell r="AM81" t="str">
            <v xml:space="preserve"> 支  架</v>
          </cell>
          <cell r="AN81" t="str">
            <v xml:space="preserve"> </v>
          </cell>
          <cell r="AO81" t="str">
            <v>支</v>
          </cell>
          <cell r="AP81">
            <v>3</v>
          </cell>
          <cell r="AQ81">
            <v>100</v>
          </cell>
          <cell r="AR81">
            <v>300</v>
          </cell>
          <cell r="AT81" t="str">
            <v xml:space="preserve"> 普 通 工</v>
          </cell>
          <cell r="AU81" t="str">
            <v>施肥、客土等</v>
          </cell>
          <cell r="AV81" t="str">
            <v>工</v>
          </cell>
          <cell r="AW81">
            <v>6.3E-2</v>
          </cell>
          <cell r="AX81">
            <v>530</v>
          </cell>
          <cell r="AY81">
            <v>33.39</v>
          </cell>
          <cell r="AZ81" t="str">
            <v xml:space="preserve"> </v>
          </cell>
          <cell r="BA81" t="str">
            <v xml:space="preserve"> 喬木養護費</v>
          </cell>
          <cell r="BC81" t="str">
            <v>株</v>
          </cell>
          <cell r="BD81">
            <v>1</v>
          </cell>
          <cell r="BG81" t="str">
            <v>詳分析表</v>
          </cell>
          <cell r="BH81" t="str">
            <v xml:space="preserve"> 補  植</v>
          </cell>
          <cell r="BI81" t="str">
            <v>約苗木部份10%</v>
          </cell>
          <cell r="BJ81" t="str">
            <v>式</v>
          </cell>
          <cell r="BK81">
            <v>1</v>
          </cell>
          <cell r="BO81" t="str">
            <v xml:space="preserve"> 工具搬運及損耗</v>
          </cell>
          <cell r="BP81" t="str">
            <v>約工資部份3%</v>
          </cell>
          <cell r="BQ81" t="str">
            <v>式</v>
          </cell>
          <cell r="BR81">
            <v>1</v>
          </cell>
        </row>
        <row r="82">
          <cell r="A82" t="str">
            <v>a216</v>
          </cell>
          <cell r="B82" t="str">
            <v xml:space="preserve"> 喬木養護費</v>
          </cell>
          <cell r="C82" t="str">
            <v>株</v>
          </cell>
          <cell r="D82" t="str">
            <v xml:space="preserve"> 化學肥料</v>
          </cell>
          <cell r="E82" t="str">
            <v>台肥43號</v>
          </cell>
          <cell r="F82" t="str">
            <v>kg</v>
          </cell>
          <cell r="G82">
            <v>0.03</v>
          </cell>
          <cell r="J82" t="str">
            <v>另計</v>
          </cell>
          <cell r="K82" t="str">
            <v xml:space="preserve"> 普 通 工</v>
          </cell>
          <cell r="L82" t="str">
            <v>施肥</v>
          </cell>
          <cell r="M82" t="str">
            <v>工</v>
          </cell>
          <cell r="N82">
            <v>2E-3</v>
          </cell>
          <cell r="O82">
            <v>530</v>
          </cell>
          <cell r="P82">
            <v>1.06</v>
          </cell>
          <cell r="R82" t="str">
            <v xml:space="preserve"> 水車、司機及水</v>
          </cell>
          <cell r="S82" t="str">
            <v xml:space="preserve"> </v>
          </cell>
          <cell r="T82" t="str">
            <v>式</v>
          </cell>
          <cell r="U82">
            <v>1</v>
          </cell>
          <cell r="Y82" t="str">
            <v xml:space="preserve"> 普 通 工</v>
          </cell>
          <cell r="Z82" t="str">
            <v>澆水</v>
          </cell>
          <cell r="AA82" t="str">
            <v>工</v>
          </cell>
          <cell r="AB82">
            <v>0.02</v>
          </cell>
          <cell r="AC82">
            <v>530</v>
          </cell>
          <cell r="AD82">
            <v>10.6</v>
          </cell>
          <cell r="AE82" t="str">
            <v xml:space="preserve"> </v>
          </cell>
          <cell r="AF82" t="str">
            <v xml:space="preserve"> 噴藥車租金</v>
          </cell>
          <cell r="AG82" t="str">
            <v>含農藥及水</v>
          </cell>
          <cell r="AH82" t="str">
            <v>式</v>
          </cell>
          <cell r="AI82">
            <v>1</v>
          </cell>
          <cell r="AL82" t="str">
            <v xml:space="preserve"> </v>
          </cell>
          <cell r="AM82" t="str">
            <v xml:space="preserve"> 一般技工</v>
          </cell>
          <cell r="AN82" t="str">
            <v>病蟲害防治</v>
          </cell>
          <cell r="AO82" t="str">
            <v>工</v>
          </cell>
          <cell r="AP82">
            <v>6.0000000000000001E-3</v>
          </cell>
          <cell r="AQ82">
            <v>720</v>
          </cell>
          <cell r="AR82">
            <v>4.32</v>
          </cell>
          <cell r="AT82" t="str">
            <v xml:space="preserve"> 普 通 工</v>
          </cell>
          <cell r="AU82" t="str">
            <v>除草</v>
          </cell>
          <cell r="AV82" t="str">
            <v>工</v>
          </cell>
          <cell r="AW82">
            <v>5.0000000000000001E-3</v>
          </cell>
          <cell r="AX82">
            <v>530</v>
          </cell>
          <cell r="AY82">
            <v>2.65</v>
          </cell>
          <cell r="AZ82" t="str">
            <v xml:space="preserve"> </v>
          </cell>
          <cell r="BA82" t="str">
            <v xml:space="preserve"> 工具搬運及損耗</v>
          </cell>
          <cell r="BB82" t="str">
            <v>約工資部份3%</v>
          </cell>
          <cell r="BC82" t="str">
            <v>式</v>
          </cell>
          <cell r="BD82">
            <v>1</v>
          </cell>
        </row>
        <row r="83">
          <cell r="A83" t="str">
            <v>b1</v>
          </cell>
          <cell r="B83" t="str">
            <v xml:space="preserve"> 鑽心體取樣費</v>
          </cell>
          <cell r="C83" t="str">
            <v>組</v>
          </cell>
          <cell r="D83" t="str">
            <v xml:space="preserve"> 取  樣</v>
          </cell>
          <cell r="F83" t="str">
            <v>個</v>
          </cell>
          <cell r="G83">
            <v>3</v>
          </cell>
          <cell r="H83">
            <v>800</v>
          </cell>
          <cell r="I83">
            <v>2400</v>
          </cell>
          <cell r="K83" t="str">
            <v xml:space="preserve"> 切  割</v>
          </cell>
          <cell r="M83" t="str">
            <v>個</v>
          </cell>
          <cell r="N83">
            <v>3</v>
          </cell>
          <cell r="O83">
            <v>200</v>
          </cell>
          <cell r="P83">
            <v>600</v>
          </cell>
          <cell r="R83" t="str">
            <v xml:space="preserve"> 試  壓</v>
          </cell>
          <cell r="T83" t="str">
            <v>個</v>
          </cell>
          <cell r="U83">
            <v>3</v>
          </cell>
          <cell r="V83">
            <v>0</v>
          </cell>
          <cell r="W83">
            <v>0</v>
          </cell>
          <cell r="Y83" t="str">
            <v xml:space="preserve"> 封  頭</v>
          </cell>
          <cell r="AA83" t="str">
            <v>個</v>
          </cell>
          <cell r="AB83">
            <v>3</v>
          </cell>
          <cell r="AC83">
            <v>200</v>
          </cell>
          <cell r="AD83">
            <v>600</v>
          </cell>
          <cell r="AF83" t="str">
            <v xml:space="preserve"> 運  費</v>
          </cell>
          <cell r="AH83" t="str">
            <v>個</v>
          </cell>
          <cell r="AI83">
            <v>3</v>
          </cell>
          <cell r="AJ83">
            <v>100</v>
          </cell>
          <cell r="AK83">
            <v>300</v>
          </cell>
          <cell r="AM83" t="str">
            <v xml:space="preserve"> 工具搬損及其他</v>
          </cell>
          <cell r="AN83">
            <v>0</v>
          </cell>
          <cell r="AO83" t="str">
            <v>式</v>
          </cell>
          <cell r="AP83">
            <v>1</v>
          </cell>
          <cell r="AQ83">
            <v>0</v>
          </cell>
          <cell r="AR83">
            <v>100</v>
          </cell>
        </row>
        <row r="84">
          <cell r="A84" t="str">
            <v>b2</v>
          </cell>
          <cell r="B84" t="str">
            <v xml:space="preserve"> 營造綜合保險費</v>
          </cell>
          <cell r="C84" t="str">
            <v>式</v>
          </cell>
          <cell r="D84" t="str">
            <v xml:space="preserve"> 營造工程第三人意外責任險</v>
          </cell>
          <cell r="F84" t="str">
            <v>式</v>
          </cell>
          <cell r="G84">
            <v>1</v>
          </cell>
          <cell r="K84" t="str">
            <v xml:space="preserve"> 雇主意外責任保險</v>
          </cell>
          <cell r="M84" t="str">
            <v>式</v>
          </cell>
          <cell r="N84">
            <v>1</v>
          </cell>
        </row>
        <row r="85">
          <cell r="A85" t="str">
            <v>b3</v>
          </cell>
          <cell r="B85" t="str">
            <v xml:space="preserve"> 水泥路面伸縮縫</v>
          </cell>
          <cell r="C85" t="str">
            <v>處</v>
          </cell>
          <cell r="D85" t="str">
            <v xml:space="preserve"> 三合夾板</v>
          </cell>
          <cell r="E85" t="str">
            <v>1cm</v>
          </cell>
          <cell r="F85" t="str">
            <v></v>
          </cell>
          <cell r="G85">
            <v>0.9</v>
          </cell>
          <cell r="H85">
            <v>180</v>
          </cell>
          <cell r="I85">
            <v>162</v>
          </cell>
          <cell r="K85" t="str">
            <v xml:space="preserve"> 普 通 工</v>
          </cell>
          <cell r="L85" t="str">
            <v>含裝設費</v>
          </cell>
          <cell r="M85" t="str">
            <v>工</v>
          </cell>
          <cell r="N85">
            <v>0.05</v>
          </cell>
          <cell r="O85">
            <v>530</v>
          </cell>
          <cell r="P85">
            <v>26.5</v>
          </cell>
          <cell r="R85" t="str">
            <v xml:space="preserve"> 工具搬運及損耗</v>
          </cell>
          <cell r="S85" t="str">
            <v>約勞力部份4%</v>
          </cell>
          <cell r="T85" t="str">
            <v>式</v>
          </cell>
          <cell r="U85">
            <v>1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</row>
        <row r="86">
          <cell r="A86" t="str">
            <v>b4</v>
          </cell>
          <cell r="B86" t="str">
            <v xml:space="preserve"> 排  磚</v>
          </cell>
          <cell r="C86" t="str">
            <v>㎡</v>
          </cell>
          <cell r="D86" t="str">
            <v xml:space="preserve"> 紅  磚</v>
          </cell>
          <cell r="F86" t="str">
            <v>塊</v>
          </cell>
          <cell r="G86">
            <v>39</v>
          </cell>
          <cell r="J86" t="str">
            <v>另計</v>
          </cell>
          <cell r="K86" t="str">
            <v xml:space="preserve"> 淨  砂</v>
          </cell>
          <cell r="M86" t="str">
            <v></v>
          </cell>
          <cell r="N86">
            <v>0.06</v>
          </cell>
          <cell r="R86" t="str">
            <v xml:space="preserve"> 一般技工</v>
          </cell>
          <cell r="S86" t="str">
            <v xml:space="preserve"> </v>
          </cell>
          <cell r="T86" t="str">
            <v>工</v>
          </cell>
          <cell r="U86">
            <v>0.08</v>
          </cell>
          <cell r="V86">
            <v>720</v>
          </cell>
          <cell r="W86">
            <v>57.6</v>
          </cell>
          <cell r="Y86" t="str">
            <v xml:space="preserve"> 普 通 工</v>
          </cell>
          <cell r="Z86" t="str">
            <v xml:space="preserve"> </v>
          </cell>
          <cell r="AA86" t="str">
            <v>工</v>
          </cell>
          <cell r="AB86">
            <v>0.08</v>
          </cell>
          <cell r="AC86">
            <v>530</v>
          </cell>
          <cell r="AD86">
            <v>42.4</v>
          </cell>
          <cell r="AF86" t="str">
            <v xml:space="preserve"> 工具搬運及損耗</v>
          </cell>
          <cell r="AG86" t="str">
            <v>約勞力部份3%</v>
          </cell>
          <cell r="AH86" t="str">
            <v>式</v>
          </cell>
          <cell r="AI86">
            <v>1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</row>
        <row r="87">
          <cell r="A87" t="str">
            <v>b5</v>
          </cell>
          <cell r="B87" t="str">
            <v xml:space="preserve"> 鋪植草磚</v>
          </cell>
          <cell r="C87" t="str">
            <v>㎡</v>
          </cell>
          <cell r="D87" t="str">
            <v xml:space="preserve"> 植 草 磚</v>
          </cell>
          <cell r="F87" t="str">
            <v>塊</v>
          </cell>
          <cell r="G87">
            <v>4.2</v>
          </cell>
          <cell r="J87" t="str">
            <v>另計</v>
          </cell>
          <cell r="K87" t="str">
            <v xml:space="preserve"> 淨  砂</v>
          </cell>
          <cell r="M87" t="str">
            <v></v>
          </cell>
          <cell r="N87">
            <v>0.04</v>
          </cell>
          <cell r="R87" t="str">
            <v xml:space="preserve"> 一般技工</v>
          </cell>
          <cell r="S87" t="str">
            <v>鋪磚</v>
          </cell>
          <cell r="T87" t="str">
            <v>工</v>
          </cell>
          <cell r="U87">
            <v>0.2</v>
          </cell>
          <cell r="V87">
            <v>720</v>
          </cell>
          <cell r="W87">
            <v>144</v>
          </cell>
          <cell r="Y87" t="str">
            <v xml:space="preserve"> 普 通 工</v>
          </cell>
          <cell r="Z87" t="str">
            <v>整平壓實</v>
          </cell>
          <cell r="AA87" t="str">
            <v>工</v>
          </cell>
          <cell r="AB87">
            <v>0.25</v>
          </cell>
          <cell r="AC87">
            <v>530</v>
          </cell>
          <cell r="AD87">
            <v>132.5</v>
          </cell>
          <cell r="AF87" t="str">
            <v xml:space="preserve"> 工具搬運及損耗</v>
          </cell>
          <cell r="AG87" t="str">
            <v>約勞力部份3%</v>
          </cell>
          <cell r="AH87" t="str">
            <v>式</v>
          </cell>
          <cell r="AI87">
            <v>1</v>
          </cell>
          <cell r="AK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</row>
        <row r="88">
          <cell r="A88" t="str">
            <v>b6</v>
          </cell>
          <cell r="B88" t="str">
            <v xml:space="preserve"> 砌B過火磚及斬毛</v>
          </cell>
          <cell r="C88" t="str">
            <v>㎡</v>
          </cell>
          <cell r="D88" t="str">
            <v xml:space="preserve"> 過 火 磚</v>
          </cell>
          <cell r="E88" t="str">
            <v>6x11x23cm</v>
          </cell>
          <cell r="F88" t="str">
            <v>塊</v>
          </cell>
          <cell r="G88">
            <v>70</v>
          </cell>
          <cell r="H88">
            <v>8</v>
          </cell>
          <cell r="I88">
            <v>560</v>
          </cell>
          <cell r="K88" t="str">
            <v xml:space="preserve"> 1:2水泥砂漿</v>
          </cell>
          <cell r="M88" t="str">
            <v></v>
          </cell>
          <cell r="N88">
            <v>2.5000000000000001E-2</v>
          </cell>
          <cell r="R88" t="str">
            <v xml:space="preserve"> 一般技工</v>
          </cell>
          <cell r="S88" t="str">
            <v>斬毛及勾縫</v>
          </cell>
          <cell r="T88" t="str">
            <v>工</v>
          </cell>
          <cell r="U88">
            <v>0.3</v>
          </cell>
          <cell r="V88">
            <v>720</v>
          </cell>
          <cell r="W88">
            <v>216</v>
          </cell>
          <cell r="Y88" t="str">
            <v xml:space="preserve"> 普 通 工</v>
          </cell>
          <cell r="Z88">
            <v>0</v>
          </cell>
          <cell r="AA88" t="str">
            <v>工</v>
          </cell>
          <cell r="AB88">
            <v>0.26</v>
          </cell>
          <cell r="AC88">
            <v>530</v>
          </cell>
          <cell r="AD88">
            <v>137.80000000000001</v>
          </cell>
          <cell r="AF88" t="str">
            <v xml:space="preserve"> 工具搬運及損耗</v>
          </cell>
          <cell r="AG88" t="str">
            <v>約勞力部份2%</v>
          </cell>
          <cell r="AH88" t="str">
            <v>式</v>
          </cell>
          <cell r="AI88">
            <v>1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</row>
        <row r="89">
          <cell r="A89" t="str">
            <v>b7</v>
          </cell>
          <cell r="B89" t="str">
            <v xml:space="preserve"> 餘土處理</v>
          </cell>
          <cell r="C89" t="str">
            <v></v>
          </cell>
          <cell r="D89" t="str">
            <v xml:space="preserve"> 小卡車運費</v>
          </cell>
          <cell r="E89" t="str">
            <v>運距1km以內</v>
          </cell>
          <cell r="F89" t="str">
            <v></v>
          </cell>
          <cell r="G89">
            <v>1</v>
          </cell>
          <cell r="K89" t="str">
            <v xml:space="preserve"> 整 平 費</v>
          </cell>
          <cell r="M89" t="str">
            <v></v>
          </cell>
          <cell r="N89">
            <v>1</v>
          </cell>
          <cell r="P89">
            <v>0</v>
          </cell>
          <cell r="R89" t="str">
            <v xml:space="preserve"> 工具搬損及其他</v>
          </cell>
          <cell r="T89" t="str">
            <v>式</v>
          </cell>
          <cell r="U89">
            <v>1</v>
          </cell>
          <cell r="W89">
            <v>0</v>
          </cell>
        </row>
        <row r="90">
          <cell r="A90" t="str">
            <v>b8</v>
          </cell>
          <cell r="B90" t="str">
            <v xml:space="preserve"> 堤後回填</v>
          </cell>
          <cell r="C90" t="str">
            <v></v>
          </cell>
          <cell r="D90" t="str">
            <v xml:space="preserve"> 普 通 工</v>
          </cell>
          <cell r="E90" t="str">
            <v>含整平夯實</v>
          </cell>
          <cell r="F90" t="str">
            <v>工</v>
          </cell>
          <cell r="G90">
            <v>0.06</v>
          </cell>
          <cell r="H90">
            <v>530</v>
          </cell>
          <cell r="I90">
            <v>31.799999999999997</v>
          </cell>
          <cell r="K90" t="str">
            <v xml:space="preserve"> 工具搬損及其他</v>
          </cell>
          <cell r="M90" t="str">
            <v>式</v>
          </cell>
          <cell r="N90">
            <v>1</v>
          </cell>
          <cell r="P90">
            <v>0</v>
          </cell>
        </row>
        <row r="91">
          <cell r="A91" t="str">
            <v>b9</v>
          </cell>
          <cell r="B91" t="str">
            <v xml:space="preserve"> 遠運填土</v>
          </cell>
          <cell r="C91" t="str">
            <v></v>
          </cell>
          <cell r="D91" t="str">
            <v xml:space="preserve"> 小卡車運費</v>
          </cell>
          <cell r="E91" t="str">
            <v>運距約1km</v>
          </cell>
          <cell r="F91" t="str">
            <v></v>
          </cell>
          <cell r="G91">
            <v>1</v>
          </cell>
          <cell r="K91" t="str">
            <v xml:space="preserve"> 取  土</v>
          </cell>
          <cell r="M91" t="str">
            <v></v>
          </cell>
          <cell r="N91">
            <v>1</v>
          </cell>
          <cell r="P91">
            <v>0</v>
          </cell>
          <cell r="R91" t="str">
            <v xml:space="preserve"> 工具搬損及其他</v>
          </cell>
          <cell r="T91" t="str">
            <v>式</v>
          </cell>
          <cell r="U91">
            <v>1</v>
          </cell>
          <cell r="W91">
            <v>0</v>
          </cell>
        </row>
        <row r="92">
          <cell r="A92" t="str">
            <v>b10</v>
          </cell>
          <cell r="B92" t="str">
            <v xml:space="preserve"> 護  欄</v>
          </cell>
          <cell r="C92" t="str">
            <v>個</v>
          </cell>
          <cell r="D92" t="str">
            <v xml:space="preserve"> 140kg/c㎡混凝土</v>
          </cell>
          <cell r="E92" t="str">
            <v>材料費</v>
          </cell>
          <cell r="F92" t="str">
            <v></v>
          </cell>
          <cell r="G92">
            <v>0.13800000000000001</v>
          </cell>
          <cell r="H92">
            <v>0</v>
          </cell>
          <cell r="I92">
            <v>0</v>
          </cell>
          <cell r="J92" t="str">
            <v>另計</v>
          </cell>
          <cell r="K92" t="str">
            <v xml:space="preserve"> 140kg/c㎡混凝土</v>
          </cell>
          <cell r="L92" t="str">
            <v>澆置費</v>
          </cell>
          <cell r="M92" t="str">
            <v></v>
          </cell>
          <cell r="N92">
            <v>0.13800000000000001</v>
          </cell>
          <cell r="P92">
            <v>0</v>
          </cell>
          <cell r="R92" t="str">
            <v xml:space="preserve"> 裸露模板</v>
          </cell>
          <cell r="T92" t="str">
            <v></v>
          </cell>
          <cell r="U92">
            <v>1.28</v>
          </cell>
          <cell r="W92">
            <v>0</v>
          </cell>
          <cell r="Y92" t="str">
            <v xml:space="preserve"> 鋼  筋</v>
          </cell>
          <cell r="AA92" t="str">
            <v>kg</v>
          </cell>
          <cell r="AB92">
            <v>7.22</v>
          </cell>
          <cell r="AD92">
            <v>0</v>
          </cell>
          <cell r="AE92" t="str">
            <v>另計</v>
          </cell>
          <cell r="AF92" t="str">
            <v xml:space="preserve"> 鋼筋加工及組立</v>
          </cell>
          <cell r="AH92" t="str">
            <v>kg</v>
          </cell>
          <cell r="AI92">
            <v>7.22</v>
          </cell>
          <cell r="AK92">
            <v>0</v>
          </cell>
          <cell r="AM92" t="str">
            <v xml:space="preserve"> 粉刷白色水泥漆</v>
          </cell>
          <cell r="AN92" t="str">
            <v>一底二度</v>
          </cell>
          <cell r="AO92" t="str">
            <v>式</v>
          </cell>
          <cell r="AP92">
            <v>1</v>
          </cell>
        </row>
        <row r="93">
          <cell r="A93" t="str">
            <v>b11</v>
          </cell>
          <cell r="B93" t="str">
            <v xml:space="preserve"> 鍍鋅鐵絲箱型石籠</v>
          </cell>
          <cell r="C93" t="str">
            <v>m</v>
          </cell>
          <cell r="D93" t="str">
            <v xml:space="preserve"> 普 通 工</v>
          </cell>
          <cell r="F93" t="str">
            <v>工</v>
          </cell>
          <cell r="G93">
            <v>0.3</v>
          </cell>
          <cell r="H93">
            <v>530</v>
          </cell>
          <cell r="I93">
            <v>159</v>
          </cell>
          <cell r="K93" t="str">
            <v xml:space="preserve"> 塊  石</v>
          </cell>
          <cell r="M93" t="str">
            <v></v>
          </cell>
          <cell r="N93">
            <v>1</v>
          </cell>
          <cell r="P93">
            <v>0</v>
          </cell>
          <cell r="R93" t="str">
            <v xml:space="preserve"> 箱型石籠</v>
          </cell>
          <cell r="T93" t="str">
            <v></v>
          </cell>
          <cell r="W93">
            <v>0</v>
          </cell>
          <cell r="X93" t="str">
            <v>另計</v>
          </cell>
          <cell r="Y93" t="str">
            <v xml:space="preserve"> 鍍鋅鐵絲</v>
          </cell>
          <cell r="Z93" t="str">
            <v>綑紮用</v>
          </cell>
          <cell r="AA93" t="str">
            <v>式</v>
          </cell>
          <cell r="AB93">
            <v>1</v>
          </cell>
          <cell r="AD93">
            <v>0</v>
          </cell>
          <cell r="AF93" t="str">
            <v xml:space="preserve"> 工具搬運及損耗</v>
          </cell>
          <cell r="AG93" t="str">
            <v>約勞力部份5%</v>
          </cell>
          <cell r="AH93" t="str">
            <v>式</v>
          </cell>
          <cell r="AI93">
            <v>1</v>
          </cell>
          <cell r="AK93">
            <v>0</v>
          </cell>
        </row>
        <row r="94">
          <cell r="A94" t="str">
            <v>b12</v>
          </cell>
          <cell r="B94" t="str">
            <v xml:space="preserve"> 不銹鋼踏步</v>
          </cell>
          <cell r="C94" t="str">
            <v>支</v>
          </cell>
          <cell r="D94" t="str">
            <v xml:space="preserve"> φ19mm不銹鋼條</v>
          </cell>
          <cell r="E94" t="str">
            <v>L=1.14m</v>
          </cell>
          <cell r="F94" t="str">
            <v>kg</v>
          </cell>
          <cell r="G94">
            <v>2.81</v>
          </cell>
          <cell r="H94">
            <v>0</v>
          </cell>
          <cell r="I94">
            <v>0</v>
          </cell>
          <cell r="J94" t="str">
            <v>另計</v>
          </cell>
          <cell r="K94" t="str">
            <v xml:space="preserve"> 加工及按裝</v>
          </cell>
          <cell r="M94" t="str">
            <v>式</v>
          </cell>
          <cell r="N94">
            <v>1</v>
          </cell>
          <cell r="P94">
            <v>0</v>
          </cell>
          <cell r="R94" t="str">
            <v xml:space="preserve"> 工具搬損及其他</v>
          </cell>
          <cell r="T94" t="str">
            <v>式</v>
          </cell>
          <cell r="U94">
            <v>1</v>
          </cell>
          <cell r="W94">
            <v>0</v>
          </cell>
        </row>
        <row r="95">
          <cell r="A95" t="str">
            <v>b13</v>
          </cell>
          <cell r="B95" t="str">
            <v xml:space="preserve"> 7噸鼎形塊製作及吊放</v>
          </cell>
          <cell r="C95" t="str">
            <v>個</v>
          </cell>
          <cell r="D95" t="str">
            <v xml:space="preserve"> 175kg/c㎡混凝土</v>
          </cell>
          <cell r="E95" t="str">
            <v>材料費及澆置費</v>
          </cell>
          <cell r="F95" t="str">
            <v></v>
          </cell>
          <cell r="G95">
            <v>3.2120000000000002</v>
          </cell>
          <cell r="J95" t="str">
            <v>另計</v>
          </cell>
          <cell r="K95" t="str">
            <v xml:space="preserve"> 鐵模租金</v>
          </cell>
          <cell r="L95" t="str">
            <v>運費另計</v>
          </cell>
          <cell r="M95" t="str">
            <v></v>
          </cell>
          <cell r="N95">
            <v>18.158000000000001</v>
          </cell>
          <cell r="O95">
            <v>70</v>
          </cell>
          <cell r="P95">
            <v>1271.0600000000002</v>
          </cell>
          <cell r="R95" t="str">
            <v xml:space="preserve"> 鐵模組拆</v>
          </cell>
          <cell r="T95" t="str">
            <v></v>
          </cell>
          <cell r="U95">
            <v>18.158000000000001</v>
          </cell>
          <cell r="V95">
            <v>40</v>
          </cell>
          <cell r="W95">
            <v>726.32</v>
          </cell>
          <cell r="Y95" t="str">
            <v xml:space="preserve"> 鼎形塊養生</v>
          </cell>
          <cell r="AA95" t="str">
            <v>個</v>
          </cell>
          <cell r="AB95">
            <v>1</v>
          </cell>
          <cell r="AC95">
            <v>40</v>
          </cell>
          <cell r="AD95">
            <v>40</v>
          </cell>
          <cell r="AF95" t="str">
            <v xml:space="preserve"> 鼎形塊堆積</v>
          </cell>
          <cell r="AH95" t="str">
            <v>噸</v>
          </cell>
          <cell r="AI95">
            <v>7</v>
          </cell>
          <cell r="AJ95">
            <v>35</v>
          </cell>
          <cell r="AK95">
            <v>245</v>
          </cell>
          <cell r="AL95" t="str">
            <v xml:space="preserve"> </v>
          </cell>
          <cell r="AM95" t="str">
            <v xml:space="preserve"> 鼎形塊搬運</v>
          </cell>
          <cell r="AO95" t="str">
            <v>噸</v>
          </cell>
          <cell r="AP95">
            <v>7</v>
          </cell>
          <cell r="AQ95">
            <v>50</v>
          </cell>
          <cell r="AR95">
            <v>350</v>
          </cell>
          <cell r="AT95" t="str">
            <v xml:space="preserve"> 鼎形塊吊放</v>
          </cell>
          <cell r="AV95" t="str">
            <v>個</v>
          </cell>
          <cell r="AW95">
            <v>1</v>
          </cell>
          <cell r="AX95">
            <v>500</v>
          </cell>
          <cell r="AY95">
            <v>500</v>
          </cell>
          <cell r="BA95" t="str">
            <v xml:space="preserve"> 工具損耗及其他</v>
          </cell>
          <cell r="BC95" t="str">
            <v>式</v>
          </cell>
          <cell r="BD95">
            <v>1</v>
          </cell>
        </row>
        <row r="96">
          <cell r="A96" t="str">
            <v>b14</v>
          </cell>
          <cell r="B96" t="str">
            <v xml:space="preserve"> 10噸鼎形塊製作</v>
          </cell>
          <cell r="C96" t="str">
            <v>個</v>
          </cell>
          <cell r="D96" t="str">
            <v xml:space="preserve"> 175kg/c㎡混凝土</v>
          </cell>
          <cell r="E96" t="str">
            <v>材料費及澆置費</v>
          </cell>
          <cell r="F96" t="str">
            <v></v>
          </cell>
          <cell r="G96">
            <v>4.4470000000000001</v>
          </cell>
          <cell r="J96" t="str">
            <v>另計</v>
          </cell>
          <cell r="K96" t="str">
            <v xml:space="preserve"> 鐵模租金</v>
          </cell>
          <cell r="L96" t="str">
            <v>運費另計</v>
          </cell>
          <cell r="M96" t="str">
            <v></v>
          </cell>
          <cell r="N96">
            <v>22.44</v>
          </cell>
          <cell r="O96">
            <v>70</v>
          </cell>
          <cell r="P96">
            <v>1570.8000000000002</v>
          </cell>
          <cell r="R96" t="str">
            <v xml:space="preserve"> 鐵模組拆</v>
          </cell>
          <cell r="T96" t="str">
            <v></v>
          </cell>
          <cell r="U96">
            <v>22.44</v>
          </cell>
          <cell r="V96">
            <v>40</v>
          </cell>
          <cell r="W96">
            <v>897.6</v>
          </cell>
          <cell r="Y96" t="str">
            <v xml:space="preserve"> 鼎形塊養生</v>
          </cell>
          <cell r="AA96" t="str">
            <v>個</v>
          </cell>
          <cell r="AB96">
            <v>1</v>
          </cell>
          <cell r="AC96">
            <v>60</v>
          </cell>
          <cell r="AD96">
            <v>60</v>
          </cell>
          <cell r="AF96" t="str">
            <v xml:space="preserve"> 鋼  索</v>
          </cell>
          <cell r="AG96" t="str">
            <v>φ25mm</v>
          </cell>
          <cell r="AH96" t="str">
            <v>kg</v>
          </cell>
          <cell r="AI96">
            <v>15.73</v>
          </cell>
          <cell r="AL96" t="str">
            <v>另計</v>
          </cell>
          <cell r="AM96" t="str">
            <v xml:space="preserve"> 鋼 索 夾</v>
          </cell>
          <cell r="AO96" t="str">
            <v>個</v>
          </cell>
          <cell r="AP96">
            <v>6</v>
          </cell>
          <cell r="AS96" t="str">
            <v>另計</v>
          </cell>
          <cell r="AT96" t="str">
            <v xml:space="preserve"> 工具損耗及其他</v>
          </cell>
          <cell r="AV96" t="str">
            <v>式</v>
          </cell>
          <cell r="AW96">
            <v>1</v>
          </cell>
        </row>
        <row r="97">
          <cell r="A97" t="str">
            <v>b15</v>
          </cell>
          <cell r="B97" t="str">
            <v xml:space="preserve"> 採淨石子</v>
          </cell>
          <cell r="C97" t="str">
            <v></v>
          </cell>
          <cell r="D97" t="str">
            <v xml:space="preserve"> 普 通 工</v>
          </cell>
          <cell r="F97" t="str">
            <v>工</v>
          </cell>
          <cell r="G97">
            <v>0.9</v>
          </cell>
          <cell r="H97">
            <v>530</v>
          </cell>
          <cell r="I97">
            <v>477</v>
          </cell>
          <cell r="K97" t="str">
            <v xml:space="preserve"> 搬 運 費</v>
          </cell>
          <cell r="L97" t="str">
            <v>運距約60m</v>
          </cell>
          <cell r="M97" t="str">
            <v>工</v>
          </cell>
          <cell r="N97">
            <v>0.19</v>
          </cell>
          <cell r="O97">
            <v>530</v>
          </cell>
          <cell r="P97">
            <v>100.7</v>
          </cell>
          <cell r="R97" t="str">
            <v xml:space="preserve"> 工具搬運及損耗</v>
          </cell>
          <cell r="S97" t="str">
            <v>約工資部份3%</v>
          </cell>
          <cell r="T97" t="str">
            <v>式</v>
          </cell>
          <cell r="U97">
            <v>1</v>
          </cell>
        </row>
        <row r="98">
          <cell r="A98" t="str">
            <v>b16</v>
          </cell>
          <cell r="B98" t="str">
            <v xml:space="preserve"> 採 塊 石(長徑約φ30cm)</v>
          </cell>
          <cell r="C98" t="str">
            <v></v>
          </cell>
          <cell r="D98" t="str">
            <v xml:space="preserve"> 普 通 工</v>
          </cell>
          <cell r="F98" t="str">
            <v>工</v>
          </cell>
          <cell r="G98">
            <v>0.45</v>
          </cell>
          <cell r="H98">
            <v>530</v>
          </cell>
          <cell r="I98">
            <v>238.5</v>
          </cell>
          <cell r="K98" t="str">
            <v xml:space="preserve"> 搬 運 費</v>
          </cell>
          <cell r="L98" t="str">
            <v>運距約60m</v>
          </cell>
          <cell r="M98" t="str">
            <v>工</v>
          </cell>
          <cell r="N98">
            <v>0.23</v>
          </cell>
          <cell r="O98">
            <v>530</v>
          </cell>
          <cell r="P98">
            <v>121.9</v>
          </cell>
          <cell r="R98" t="str">
            <v xml:space="preserve"> 工具搬運及損耗</v>
          </cell>
          <cell r="S98" t="str">
            <v>約工資部份3%</v>
          </cell>
          <cell r="T98" t="str">
            <v>式</v>
          </cell>
          <cell r="U98">
            <v>1</v>
          </cell>
        </row>
        <row r="99">
          <cell r="A99" t="str">
            <v>b17</v>
          </cell>
          <cell r="B99" t="str">
            <v xml:space="preserve"> 採大塊石(長徑 &gt;50cm)</v>
          </cell>
          <cell r="C99" t="str">
            <v></v>
          </cell>
          <cell r="D99" t="str">
            <v xml:space="preserve"> 普 通 工</v>
          </cell>
          <cell r="F99" t="str">
            <v>工</v>
          </cell>
          <cell r="G99">
            <v>0.7</v>
          </cell>
          <cell r="H99">
            <v>530</v>
          </cell>
          <cell r="I99">
            <v>371</v>
          </cell>
          <cell r="K99" t="str">
            <v xml:space="preserve"> 搬 運 費</v>
          </cell>
          <cell r="L99" t="str">
            <v xml:space="preserve"> </v>
          </cell>
          <cell r="M99" t="str">
            <v>時</v>
          </cell>
          <cell r="N99">
            <v>0.1</v>
          </cell>
          <cell r="O99">
            <v>800</v>
          </cell>
          <cell r="P99">
            <v>80</v>
          </cell>
          <cell r="R99" t="str">
            <v xml:space="preserve"> 裝 卸 費</v>
          </cell>
          <cell r="T99" t="str">
            <v>式</v>
          </cell>
          <cell r="U99">
            <v>1</v>
          </cell>
        </row>
        <row r="100">
          <cell r="A100" t="str">
            <v>b18</v>
          </cell>
          <cell r="B100" t="str">
            <v xml:space="preserve"> 填 塊 石</v>
          </cell>
          <cell r="C100" t="str">
            <v></v>
          </cell>
          <cell r="D100" t="str">
            <v xml:space="preserve"> 塊  石</v>
          </cell>
          <cell r="E100" t="str">
            <v>長徑約φ30cm</v>
          </cell>
          <cell r="F100" t="str">
            <v></v>
          </cell>
          <cell r="G100">
            <v>1</v>
          </cell>
          <cell r="K100" t="str">
            <v xml:space="preserve"> 普 通 工</v>
          </cell>
          <cell r="M100" t="str">
            <v>工</v>
          </cell>
          <cell r="N100">
            <v>0.3</v>
          </cell>
          <cell r="O100">
            <v>530</v>
          </cell>
          <cell r="P100">
            <v>159</v>
          </cell>
          <cell r="R100" t="str">
            <v xml:space="preserve"> 工具搬運及損耗</v>
          </cell>
          <cell r="S100" t="str">
            <v>約工資部份3%</v>
          </cell>
          <cell r="T100" t="str">
            <v>式</v>
          </cell>
          <cell r="U100">
            <v>1</v>
          </cell>
        </row>
        <row r="101">
          <cell r="A101" t="str">
            <v>b19</v>
          </cell>
          <cell r="B101" t="str">
            <v xml:space="preserve"> 崁大塊石</v>
          </cell>
          <cell r="C101" t="str">
            <v>㎡</v>
          </cell>
          <cell r="D101" t="str">
            <v xml:space="preserve"> 塊  石</v>
          </cell>
          <cell r="E101" t="str">
            <v>長徑&gt;50cm</v>
          </cell>
          <cell r="F101" t="str">
            <v></v>
          </cell>
          <cell r="G101">
            <v>0.15</v>
          </cell>
          <cell r="K101" t="str">
            <v xml:space="preserve"> 一般技工</v>
          </cell>
          <cell r="L101" t="str">
            <v xml:space="preserve"> </v>
          </cell>
          <cell r="M101" t="str">
            <v>工</v>
          </cell>
          <cell r="N101">
            <v>0.14000000000000001</v>
          </cell>
          <cell r="O101">
            <v>720</v>
          </cell>
          <cell r="P101">
            <v>100.80000000000001</v>
          </cell>
          <cell r="R101" t="str">
            <v xml:space="preserve"> 普 通 工</v>
          </cell>
          <cell r="S101" t="str">
            <v xml:space="preserve"> </v>
          </cell>
          <cell r="T101" t="str">
            <v>工</v>
          </cell>
          <cell r="U101">
            <v>0.09</v>
          </cell>
          <cell r="V101">
            <v>530</v>
          </cell>
          <cell r="W101">
            <v>47.699999999999996</v>
          </cell>
          <cell r="Y101" t="str">
            <v xml:space="preserve"> 工具搬運及損耗</v>
          </cell>
          <cell r="Z101" t="str">
            <v>約勞力部份2%</v>
          </cell>
          <cell r="AA101" t="str">
            <v>式</v>
          </cell>
          <cell r="AB101">
            <v>1</v>
          </cell>
        </row>
        <row r="102">
          <cell r="A102" t="str">
            <v>b20</v>
          </cell>
          <cell r="B102" t="str">
            <v>簡易基礎模板製作及裝拆</v>
          </cell>
          <cell r="C102" t="str">
            <v>㎡</v>
          </cell>
          <cell r="D102" t="str">
            <v>板料</v>
          </cell>
          <cell r="E102" t="str">
            <v>得使用鋼鈑</v>
          </cell>
          <cell r="F102" t="str">
            <v></v>
          </cell>
          <cell r="G102">
            <v>1.7999999999999999E-2</v>
          </cell>
          <cell r="H102">
            <v>1600</v>
          </cell>
          <cell r="K102" t="str">
            <v>角材</v>
          </cell>
          <cell r="L102" t="str">
            <v>或角鋼</v>
          </cell>
          <cell r="M102" t="str">
            <v></v>
          </cell>
          <cell r="N102">
            <v>8.0000000000000002E-3</v>
          </cell>
          <cell r="O102">
            <v>1200</v>
          </cell>
          <cell r="R102" t="str">
            <v>鐵件</v>
          </cell>
          <cell r="T102" t="str">
            <v>kg</v>
          </cell>
          <cell r="U102">
            <v>0.1</v>
          </cell>
          <cell r="V102">
            <v>22</v>
          </cell>
          <cell r="Y102" t="str">
            <v>一般技工</v>
          </cell>
          <cell r="AA102" t="str">
            <v>工</v>
          </cell>
          <cell r="AB102">
            <v>0.06</v>
          </cell>
          <cell r="AC102">
            <v>720</v>
          </cell>
          <cell r="AF102" t="str">
            <v>普通工</v>
          </cell>
          <cell r="AH102" t="str">
            <v>工</v>
          </cell>
          <cell r="AI102">
            <v>0.03</v>
          </cell>
          <cell r="AJ102">
            <v>530</v>
          </cell>
          <cell r="AM102" t="str">
            <v>工具搬運及損耗</v>
          </cell>
          <cell r="AO102" t="str">
            <v>式</v>
          </cell>
          <cell r="AP102">
            <v>1</v>
          </cell>
        </row>
        <row r="103">
          <cell r="A103" t="str">
            <v>b21</v>
          </cell>
          <cell r="B103" t="str">
            <v>拋塊石</v>
          </cell>
          <cell r="C103" t="str">
            <v>m3</v>
          </cell>
          <cell r="D103" t="str">
            <v>塊石</v>
          </cell>
          <cell r="E103" t="str">
            <v>長徑&gt;50cm</v>
          </cell>
          <cell r="F103" t="str">
            <v>m3</v>
          </cell>
          <cell r="G103">
            <v>1</v>
          </cell>
          <cell r="K103" t="str">
            <v xml:space="preserve"> 特種技工</v>
          </cell>
          <cell r="M103" t="str">
            <v>工</v>
          </cell>
          <cell r="N103">
            <v>0.05</v>
          </cell>
          <cell r="O103">
            <v>800</v>
          </cell>
          <cell r="P103">
            <v>40</v>
          </cell>
          <cell r="R103" t="str">
            <v xml:space="preserve"> 普 通 工</v>
          </cell>
          <cell r="T103" t="str">
            <v>工</v>
          </cell>
          <cell r="U103">
            <v>0.05</v>
          </cell>
          <cell r="V103">
            <v>530</v>
          </cell>
          <cell r="W103">
            <v>26.5</v>
          </cell>
          <cell r="Y103" t="str">
            <v xml:space="preserve"> 挖 土 機</v>
          </cell>
          <cell r="AA103" t="str">
            <v>時</v>
          </cell>
          <cell r="AB103">
            <v>0.1</v>
          </cell>
          <cell r="AC103">
            <v>900</v>
          </cell>
          <cell r="AD103">
            <v>90</v>
          </cell>
          <cell r="AF103" t="str">
            <v xml:space="preserve"> 工具搬運及損耗</v>
          </cell>
          <cell r="AG103" t="str">
            <v>約工資部份3%</v>
          </cell>
          <cell r="AH103" t="str">
            <v>式</v>
          </cell>
          <cell r="AI103">
            <v>1</v>
          </cell>
        </row>
        <row r="104">
          <cell r="A104" t="str">
            <v>b22</v>
          </cell>
        </row>
        <row r="105">
          <cell r="A105" t="str">
            <v>b23</v>
          </cell>
        </row>
        <row r="106">
          <cell r="A106" t="str">
            <v>b24</v>
          </cell>
        </row>
        <row r="107">
          <cell r="A107" t="str">
            <v>b25</v>
          </cell>
        </row>
        <row r="108">
          <cell r="A108" t="str">
            <v>b26</v>
          </cell>
        </row>
        <row r="109">
          <cell r="A109" t="str">
            <v>b27</v>
          </cell>
        </row>
        <row r="110">
          <cell r="A110" t="str">
            <v>b28</v>
          </cell>
        </row>
        <row r="111">
          <cell r="A111" t="str">
            <v>b29</v>
          </cell>
        </row>
        <row r="112">
          <cell r="A112">
            <v>0</v>
          </cell>
        </row>
      </sheetData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程預算書"/>
      <sheetName val="預算書費率表"/>
      <sheetName val="數量總表"/>
      <sheetName val="預定進度表"/>
      <sheetName val="基本單價說明"/>
      <sheetName val="空白工程預算書 "/>
      <sheetName val="單價分析表(1-6) "/>
      <sheetName val="空白工程預算書_"/>
      <sheetName val="單價分析表(1-6)_"/>
      <sheetName val="BG8"/>
      <sheetName val="單價分析表(1-11)"/>
      <sheetName val="單價分析表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單價計算"/>
      <sheetName val="費率"/>
      <sheetName val="單價分析表"/>
      <sheetName val="預算書"/>
      <sheetName val="估價單1"/>
      <sheetName val="估價單2"/>
      <sheetName val="合約1"/>
      <sheetName val="合約2"/>
      <sheetName val="變更"/>
      <sheetName val="估驗"/>
      <sheetName val="結算"/>
      <sheetName val="分析資料"/>
      <sheetName val="單價總表"/>
      <sheetName val="基本單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2" t="str">
            <v>No</v>
          </cell>
          <cell r="B2" t="str">
            <v>工程項目</v>
          </cell>
          <cell r="C2" t="str">
            <v>單位</v>
          </cell>
          <cell r="D2" t="str">
            <v>工料項1</v>
          </cell>
          <cell r="E2" t="str">
            <v>說明1</v>
          </cell>
          <cell r="F2" t="str">
            <v>單位1</v>
          </cell>
          <cell r="G2" t="str">
            <v>數量1</v>
          </cell>
          <cell r="H2" t="str">
            <v>單價1</v>
          </cell>
          <cell r="I2" t="str">
            <v>總價1</v>
          </cell>
          <cell r="J2" t="str">
            <v>備註1</v>
          </cell>
          <cell r="K2" t="str">
            <v>工料項2</v>
          </cell>
          <cell r="L2" t="str">
            <v>說明2</v>
          </cell>
          <cell r="M2" t="str">
            <v>單位2</v>
          </cell>
          <cell r="N2" t="str">
            <v>數量2</v>
          </cell>
          <cell r="O2" t="str">
            <v>單價2</v>
          </cell>
          <cell r="P2" t="str">
            <v>總價2</v>
          </cell>
          <cell r="Q2" t="str">
            <v>備註1</v>
          </cell>
          <cell r="R2" t="str">
            <v>工料項3</v>
          </cell>
          <cell r="S2" t="str">
            <v>說明3</v>
          </cell>
          <cell r="T2" t="str">
            <v>單位3</v>
          </cell>
          <cell r="U2" t="str">
            <v>數量3</v>
          </cell>
          <cell r="V2" t="str">
            <v>單價3</v>
          </cell>
          <cell r="W2" t="str">
            <v>總價3</v>
          </cell>
          <cell r="X2" t="str">
            <v>備註1</v>
          </cell>
          <cell r="Y2" t="str">
            <v>工料項4</v>
          </cell>
          <cell r="Z2" t="str">
            <v>說明4</v>
          </cell>
          <cell r="AA2" t="str">
            <v>單位4</v>
          </cell>
          <cell r="AB2" t="str">
            <v>數量4</v>
          </cell>
          <cell r="AC2" t="str">
            <v>單價4</v>
          </cell>
          <cell r="AD2" t="str">
            <v>總價4</v>
          </cell>
          <cell r="AE2" t="str">
            <v>備註1</v>
          </cell>
          <cell r="AF2" t="str">
            <v>工料項5</v>
          </cell>
          <cell r="AG2" t="str">
            <v>說明5</v>
          </cell>
          <cell r="AH2" t="str">
            <v>單位5</v>
          </cell>
          <cell r="AI2" t="str">
            <v>數量5</v>
          </cell>
          <cell r="AJ2" t="str">
            <v>單價5</v>
          </cell>
          <cell r="AK2" t="str">
            <v>總價5</v>
          </cell>
          <cell r="AL2" t="str">
            <v>備註1</v>
          </cell>
          <cell r="AM2" t="str">
            <v>工料項6</v>
          </cell>
          <cell r="AN2" t="str">
            <v>說明6</v>
          </cell>
          <cell r="AO2" t="str">
            <v>單位6</v>
          </cell>
          <cell r="AP2" t="str">
            <v>數量6</v>
          </cell>
          <cell r="AQ2" t="str">
            <v>單價6</v>
          </cell>
          <cell r="AR2" t="str">
            <v>總價6</v>
          </cell>
          <cell r="AS2" t="str">
            <v>備註1</v>
          </cell>
          <cell r="AT2" t="str">
            <v>工料項7</v>
          </cell>
          <cell r="AU2" t="str">
            <v>說明7</v>
          </cell>
          <cell r="AV2" t="str">
            <v>單位7</v>
          </cell>
          <cell r="AW2" t="str">
            <v>數量7</v>
          </cell>
          <cell r="AX2" t="str">
            <v>單價7</v>
          </cell>
          <cell r="AY2" t="str">
            <v>總價7</v>
          </cell>
          <cell r="AZ2" t="str">
            <v>備註1</v>
          </cell>
          <cell r="BA2" t="str">
            <v>工料項8</v>
          </cell>
          <cell r="BB2" t="str">
            <v>說明8</v>
          </cell>
          <cell r="BC2" t="str">
            <v>單位8</v>
          </cell>
          <cell r="BD2" t="str">
            <v>數量8</v>
          </cell>
          <cell r="BE2" t="str">
            <v>單價8</v>
          </cell>
          <cell r="BF2" t="str">
            <v>總價8</v>
          </cell>
          <cell r="BG2" t="str">
            <v>備註1</v>
          </cell>
          <cell r="BH2" t="str">
            <v>工料項9</v>
          </cell>
          <cell r="BI2" t="str">
            <v>說明9</v>
          </cell>
          <cell r="BJ2" t="str">
            <v>單位9</v>
          </cell>
          <cell r="BK2" t="str">
            <v>數量9</v>
          </cell>
          <cell r="BL2" t="str">
            <v>單價9</v>
          </cell>
          <cell r="BM2" t="str">
            <v>總價9</v>
          </cell>
          <cell r="BN2" t="str">
            <v>備註1</v>
          </cell>
          <cell r="BO2" t="str">
            <v>工料項10</v>
          </cell>
          <cell r="BP2" t="str">
            <v>說明10</v>
          </cell>
          <cell r="BQ2" t="str">
            <v>單位10</v>
          </cell>
          <cell r="BR2" t="str">
            <v>數量10</v>
          </cell>
          <cell r="BS2" t="str">
            <v>單價10</v>
          </cell>
          <cell r="BT2" t="str">
            <v>備註1</v>
          </cell>
        </row>
        <row r="3">
          <cell r="A3" t="str">
            <v>a39</v>
          </cell>
          <cell r="B3" t="str">
            <v xml:space="preserve"> 採 淨 砂</v>
          </cell>
          <cell r="C3" t="str">
            <v></v>
          </cell>
          <cell r="D3" t="str">
            <v xml:space="preserve"> 普 通 工</v>
          </cell>
          <cell r="E3" t="str">
            <v>含砂量30%以下</v>
          </cell>
          <cell r="F3" t="str">
            <v>工</v>
          </cell>
          <cell r="G3">
            <v>0.7</v>
          </cell>
          <cell r="H3">
            <v>530</v>
          </cell>
          <cell r="I3">
            <v>371</v>
          </cell>
          <cell r="K3" t="str">
            <v xml:space="preserve"> 裝 卸 費</v>
          </cell>
          <cell r="L3">
            <v>0</v>
          </cell>
          <cell r="M3" t="str">
            <v>工</v>
          </cell>
          <cell r="N3">
            <v>0.06</v>
          </cell>
          <cell r="O3">
            <v>530</v>
          </cell>
          <cell r="P3">
            <v>31.799999999999997</v>
          </cell>
          <cell r="R3" t="str">
            <v xml:space="preserve"> 搬 運 費</v>
          </cell>
          <cell r="S3" t="str">
            <v>按運距分析</v>
          </cell>
          <cell r="T3" t="str">
            <v>式</v>
          </cell>
          <cell r="U3">
            <v>1</v>
          </cell>
          <cell r="W3">
            <v>0</v>
          </cell>
          <cell r="Y3" t="str">
            <v xml:space="preserve"> 工具搬運及損耗</v>
          </cell>
          <cell r="Z3" t="str">
            <v>約勞力部份2%</v>
          </cell>
          <cell r="AA3" t="str">
            <v>式</v>
          </cell>
          <cell r="AB3">
            <v>1</v>
          </cell>
          <cell r="AD3">
            <v>0</v>
          </cell>
          <cell r="AK3">
            <v>0</v>
          </cell>
        </row>
        <row r="4">
          <cell r="A4" t="str">
            <v>a40</v>
          </cell>
          <cell r="B4" t="str">
            <v xml:space="preserve"> 採淨石子</v>
          </cell>
          <cell r="C4" t="str">
            <v></v>
          </cell>
          <cell r="D4" t="str">
            <v xml:space="preserve"> 普 通 工</v>
          </cell>
          <cell r="E4" t="str">
            <v>含骨材30%以下</v>
          </cell>
          <cell r="F4" t="str">
            <v>工</v>
          </cell>
          <cell r="G4">
            <v>0.9</v>
          </cell>
          <cell r="H4">
            <v>530</v>
          </cell>
          <cell r="I4">
            <v>477</v>
          </cell>
          <cell r="K4" t="str">
            <v xml:space="preserve"> 裝 卸 費</v>
          </cell>
          <cell r="L4">
            <v>0</v>
          </cell>
          <cell r="M4" t="str">
            <v>工</v>
          </cell>
          <cell r="N4">
            <v>0.06</v>
          </cell>
          <cell r="O4">
            <v>530</v>
          </cell>
          <cell r="P4">
            <v>31.799999999999997</v>
          </cell>
          <cell r="R4" t="str">
            <v xml:space="preserve"> 搬 運 費</v>
          </cell>
          <cell r="S4" t="str">
            <v>按運距分析</v>
          </cell>
          <cell r="T4" t="str">
            <v>式</v>
          </cell>
          <cell r="U4">
            <v>1</v>
          </cell>
          <cell r="W4">
            <v>0</v>
          </cell>
          <cell r="Y4" t="str">
            <v xml:space="preserve"> 工具搬運及損耗</v>
          </cell>
          <cell r="Z4" t="str">
            <v>約勞力部份3%</v>
          </cell>
          <cell r="AA4" t="str">
            <v>式</v>
          </cell>
          <cell r="AB4">
            <v>1</v>
          </cell>
          <cell r="AD4">
            <v>0</v>
          </cell>
          <cell r="AK4">
            <v>0</v>
          </cell>
        </row>
        <row r="5">
          <cell r="A5" t="str">
            <v>a41</v>
          </cell>
          <cell r="B5" t="str">
            <v xml:space="preserve"> 採淨塊石( φ20~30cm )</v>
          </cell>
          <cell r="C5" t="str">
            <v></v>
          </cell>
          <cell r="D5" t="str">
            <v xml:space="preserve"> 普 通 工</v>
          </cell>
          <cell r="E5">
            <v>0</v>
          </cell>
          <cell r="F5" t="str">
            <v>工</v>
          </cell>
          <cell r="G5">
            <v>0.45</v>
          </cell>
          <cell r="H5">
            <v>530</v>
          </cell>
          <cell r="I5">
            <v>238.5</v>
          </cell>
          <cell r="K5" t="str">
            <v xml:space="preserve"> 裝 卸 費</v>
          </cell>
          <cell r="L5">
            <v>0</v>
          </cell>
          <cell r="M5" t="str">
            <v>工</v>
          </cell>
          <cell r="N5">
            <v>0.06</v>
          </cell>
          <cell r="O5">
            <v>530</v>
          </cell>
          <cell r="P5">
            <v>31.799999999999997</v>
          </cell>
          <cell r="R5" t="str">
            <v xml:space="preserve"> 搬 運 費</v>
          </cell>
          <cell r="S5" t="str">
            <v>按運距分析</v>
          </cell>
          <cell r="T5" t="str">
            <v>式</v>
          </cell>
          <cell r="U5">
            <v>1</v>
          </cell>
          <cell r="W5">
            <v>0</v>
          </cell>
          <cell r="Y5" t="str">
            <v xml:space="preserve"> 工具搬運及損耗</v>
          </cell>
          <cell r="Z5" t="str">
            <v>約勞力部份2%</v>
          </cell>
          <cell r="AA5" t="str">
            <v>式</v>
          </cell>
          <cell r="AB5">
            <v>1</v>
          </cell>
          <cell r="AD5">
            <v>0</v>
          </cell>
          <cell r="AK5">
            <v>0</v>
          </cell>
        </row>
        <row r="6">
          <cell r="A6" t="str">
            <v>a43</v>
          </cell>
          <cell r="B6" t="str">
            <v xml:space="preserve"> 採天然級配</v>
          </cell>
          <cell r="C6" t="str">
            <v></v>
          </cell>
          <cell r="D6" t="str">
            <v xml:space="preserve"> 普 通 工</v>
          </cell>
          <cell r="E6">
            <v>0</v>
          </cell>
          <cell r="F6" t="str">
            <v>工</v>
          </cell>
          <cell r="G6">
            <v>0.28000000000000003</v>
          </cell>
          <cell r="H6">
            <v>530</v>
          </cell>
          <cell r="I6">
            <v>148.4</v>
          </cell>
          <cell r="K6" t="str">
            <v xml:space="preserve"> 裝 卸 費</v>
          </cell>
          <cell r="L6">
            <v>0</v>
          </cell>
          <cell r="M6" t="str">
            <v>工</v>
          </cell>
          <cell r="N6">
            <v>0.06</v>
          </cell>
          <cell r="O6">
            <v>530</v>
          </cell>
          <cell r="P6">
            <v>31.799999999999997</v>
          </cell>
          <cell r="R6" t="str">
            <v xml:space="preserve"> 搬 運 費</v>
          </cell>
          <cell r="S6" t="str">
            <v>按運距分析</v>
          </cell>
          <cell r="T6" t="str">
            <v>式</v>
          </cell>
          <cell r="U6">
            <v>1</v>
          </cell>
          <cell r="W6">
            <v>0</v>
          </cell>
          <cell r="Y6" t="str">
            <v xml:space="preserve"> 工具搬運及損耗</v>
          </cell>
          <cell r="Z6" t="str">
            <v>約勞力部份3%</v>
          </cell>
          <cell r="AA6" t="str">
            <v>式</v>
          </cell>
          <cell r="AB6">
            <v>1</v>
          </cell>
          <cell r="AD6">
            <v>0</v>
          </cell>
          <cell r="AK6">
            <v>0</v>
          </cell>
        </row>
        <row r="7">
          <cell r="A7" t="str">
            <v>a44</v>
          </cell>
          <cell r="B7" t="str">
            <v xml:space="preserve"> 採背填卵石</v>
          </cell>
          <cell r="C7" t="str">
            <v></v>
          </cell>
          <cell r="D7" t="str">
            <v xml:space="preserve"> 普 通 工</v>
          </cell>
          <cell r="E7">
            <v>0</v>
          </cell>
          <cell r="F7" t="str">
            <v>工</v>
          </cell>
          <cell r="G7">
            <v>0.3</v>
          </cell>
          <cell r="H7">
            <v>530</v>
          </cell>
          <cell r="I7">
            <v>159</v>
          </cell>
          <cell r="K7" t="str">
            <v xml:space="preserve"> 裝 卸 費</v>
          </cell>
          <cell r="L7">
            <v>0</v>
          </cell>
          <cell r="M7" t="str">
            <v>工</v>
          </cell>
          <cell r="N7">
            <v>0.06</v>
          </cell>
          <cell r="O7">
            <v>530</v>
          </cell>
          <cell r="P7">
            <v>31.799999999999997</v>
          </cell>
          <cell r="R7" t="str">
            <v xml:space="preserve"> 搬 運 費</v>
          </cell>
          <cell r="S7" t="str">
            <v>按運距分析</v>
          </cell>
          <cell r="T7" t="str">
            <v>式</v>
          </cell>
          <cell r="U7">
            <v>1</v>
          </cell>
          <cell r="W7">
            <v>0</v>
          </cell>
          <cell r="Y7" t="str">
            <v xml:space="preserve"> 工具搬運及損耗</v>
          </cell>
          <cell r="Z7" t="str">
            <v>約勞力部份3%</v>
          </cell>
          <cell r="AA7" t="str">
            <v>式</v>
          </cell>
          <cell r="AB7">
            <v>1</v>
          </cell>
          <cell r="AD7">
            <v>0</v>
          </cell>
          <cell r="AK7">
            <v>0</v>
          </cell>
        </row>
        <row r="8">
          <cell r="A8" t="str">
            <v>a45</v>
          </cell>
          <cell r="B8" t="str">
            <v xml:space="preserve"> 採角石( 石長 25x25x30cm )</v>
          </cell>
          <cell r="C8" t="str">
            <v>塊</v>
          </cell>
          <cell r="D8" t="str">
            <v xml:space="preserve"> 特種技工</v>
          </cell>
          <cell r="E8">
            <v>0</v>
          </cell>
          <cell r="F8" t="str">
            <v>工</v>
          </cell>
          <cell r="G8">
            <v>0.02</v>
          </cell>
          <cell r="H8">
            <v>800</v>
          </cell>
          <cell r="I8">
            <v>16</v>
          </cell>
          <cell r="K8" t="str">
            <v xml:space="preserve"> 普 通 工</v>
          </cell>
          <cell r="L8">
            <v>0</v>
          </cell>
          <cell r="M8" t="str">
            <v>工</v>
          </cell>
          <cell r="N8">
            <v>0.01</v>
          </cell>
          <cell r="O8">
            <v>530</v>
          </cell>
          <cell r="P8">
            <v>5.3</v>
          </cell>
          <cell r="R8" t="str">
            <v xml:space="preserve"> 裝 卸 費</v>
          </cell>
          <cell r="S8">
            <v>0</v>
          </cell>
          <cell r="T8" t="str">
            <v>工</v>
          </cell>
          <cell r="U8">
            <v>0.06</v>
          </cell>
          <cell r="V8">
            <v>530</v>
          </cell>
          <cell r="W8">
            <v>31.799999999999997</v>
          </cell>
          <cell r="Y8" t="str">
            <v xml:space="preserve"> 搬 運 費</v>
          </cell>
          <cell r="Z8" t="str">
            <v>按運距分析</v>
          </cell>
          <cell r="AA8" t="str">
            <v>式</v>
          </cell>
          <cell r="AB8">
            <v>1</v>
          </cell>
          <cell r="AD8">
            <v>0</v>
          </cell>
          <cell r="AF8" t="str">
            <v xml:space="preserve"> 工具搬運及損耗</v>
          </cell>
          <cell r="AG8" t="str">
            <v>約勞力部份3%</v>
          </cell>
          <cell r="AH8" t="str">
            <v>式</v>
          </cell>
          <cell r="AI8">
            <v>1</v>
          </cell>
          <cell r="AK8">
            <v>0</v>
          </cell>
        </row>
        <row r="9">
          <cell r="A9" t="str">
            <v>a46</v>
          </cell>
          <cell r="B9" t="str">
            <v xml:space="preserve"> 採割石 ( 石面 0.04㎡ )</v>
          </cell>
          <cell r="C9" t="str">
            <v></v>
          </cell>
          <cell r="D9" t="str">
            <v xml:space="preserve"> 特種技工</v>
          </cell>
          <cell r="E9">
            <v>0</v>
          </cell>
          <cell r="F9" t="str">
            <v>工</v>
          </cell>
          <cell r="G9">
            <v>0.45</v>
          </cell>
          <cell r="H9">
            <v>800</v>
          </cell>
          <cell r="I9">
            <v>360</v>
          </cell>
          <cell r="K9" t="str">
            <v xml:space="preserve"> 普 通 工</v>
          </cell>
          <cell r="L9">
            <v>0</v>
          </cell>
          <cell r="M9" t="str">
            <v>工</v>
          </cell>
          <cell r="N9">
            <v>0.25</v>
          </cell>
          <cell r="O9">
            <v>530</v>
          </cell>
          <cell r="P9">
            <v>132.5</v>
          </cell>
          <cell r="R9" t="str">
            <v xml:space="preserve"> 裝 卸 費</v>
          </cell>
          <cell r="S9">
            <v>0</v>
          </cell>
          <cell r="T9" t="str">
            <v>工</v>
          </cell>
          <cell r="U9">
            <v>0.06</v>
          </cell>
          <cell r="V9">
            <v>530</v>
          </cell>
          <cell r="W9">
            <v>31.799999999999997</v>
          </cell>
          <cell r="Y9" t="str">
            <v xml:space="preserve"> 搬 運 費</v>
          </cell>
          <cell r="Z9" t="str">
            <v>按運距分析</v>
          </cell>
          <cell r="AA9" t="str">
            <v>式</v>
          </cell>
          <cell r="AB9">
            <v>1</v>
          </cell>
          <cell r="AD9">
            <v>0</v>
          </cell>
          <cell r="AF9" t="str">
            <v xml:space="preserve"> 工具搬運及損耗</v>
          </cell>
          <cell r="AG9" t="str">
            <v>約勞力部份3%</v>
          </cell>
          <cell r="AH9" t="str">
            <v>式</v>
          </cell>
          <cell r="AI9">
            <v>1</v>
          </cell>
          <cell r="AK9">
            <v>0</v>
          </cell>
        </row>
        <row r="10">
          <cell r="A10" t="str">
            <v>a47</v>
          </cell>
          <cell r="B10" t="str">
            <v xml:space="preserve"> 人工拌合1:2水泥砂漿</v>
          </cell>
          <cell r="C10" t="str">
            <v></v>
          </cell>
          <cell r="D10" t="str">
            <v xml:space="preserve"> 淨  砂</v>
          </cell>
          <cell r="E10">
            <v>0</v>
          </cell>
          <cell r="F10" t="str">
            <v></v>
          </cell>
          <cell r="G10">
            <v>0.9</v>
          </cell>
          <cell r="I10">
            <v>0</v>
          </cell>
          <cell r="K10" t="str">
            <v xml:space="preserve"> 普 通 工</v>
          </cell>
          <cell r="L10">
            <v>0</v>
          </cell>
          <cell r="M10" t="str">
            <v>工</v>
          </cell>
          <cell r="N10">
            <v>0.65</v>
          </cell>
          <cell r="O10">
            <v>530</v>
          </cell>
          <cell r="P10">
            <v>344.5</v>
          </cell>
          <cell r="R10" t="str">
            <v xml:space="preserve"> 工具搬運及損耗</v>
          </cell>
          <cell r="S10" t="str">
            <v>約勞力部份2%</v>
          </cell>
          <cell r="T10" t="str">
            <v>式</v>
          </cell>
          <cell r="U10">
            <v>1</v>
          </cell>
          <cell r="W10">
            <v>0</v>
          </cell>
          <cell r="Y10" t="str">
            <v xml:space="preserve"> 水  泥</v>
          </cell>
          <cell r="AA10" t="str">
            <v>包</v>
          </cell>
          <cell r="AB10">
            <v>13</v>
          </cell>
          <cell r="AD10">
            <v>0</v>
          </cell>
          <cell r="AE10" t="str">
            <v>另計</v>
          </cell>
          <cell r="AK10">
            <v>0</v>
          </cell>
        </row>
        <row r="11">
          <cell r="A11" t="str">
            <v>a48</v>
          </cell>
          <cell r="B11" t="str">
            <v xml:space="preserve"> 人工拌合1:3水泥砂漿</v>
          </cell>
          <cell r="C11" t="str">
            <v></v>
          </cell>
          <cell r="D11" t="str">
            <v xml:space="preserve"> 淨  砂</v>
          </cell>
          <cell r="E11">
            <v>0</v>
          </cell>
          <cell r="F11" t="str">
            <v></v>
          </cell>
          <cell r="G11">
            <v>1</v>
          </cell>
          <cell r="I11">
            <v>0</v>
          </cell>
          <cell r="K11" t="str">
            <v xml:space="preserve"> 普 通 工</v>
          </cell>
          <cell r="L11">
            <v>0</v>
          </cell>
          <cell r="M11" t="str">
            <v>工</v>
          </cell>
          <cell r="N11">
            <v>0.64</v>
          </cell>
          <cell r="O11">
            <v>530</v>
          </cell>
          <cell r="P11">
            <v>339.2</v>
          </cell>
          <cell r="R11" t="str">
            <v xml:space="preserve"> 工具搬運及損耗</v>
          </cell>
          <cell r="S11" t="str">
            <v>約勞力部份2%</v>
          </cell>
          <cell r="T11" t="str">
            <v>式</v>
          </cell>
          <cell r="U11">
            <v>1</v>
          </cell>
          <cell r="W11">
            <v>0</v>
          </cell>
          <cell r="Y11" t="str">
            <v xml:space="preserve"> 水  泥</v>
          </cell>
          <cell r="AA11" t="str">
            <v>包</v>
          </cell>
          <cell r="AB11">
            <v>10</v>
          </cell>
          <cell r="AD11">
            <v>0</v>
          </cell>
          <cell r="AE11" t="str">
            <v>另計</v>
          </cell>
          <cell r="AK11">
            <v>0</v>
          </cell>
        </row>
        <row r="12">
          <cell r="A12" t="str">
            <v>a49</v>
          </cell>
          <cell r="B12" t="str">
            <v xml:space="preserve"> 人工拌合1:4水泥砂漿</v>
          </cell>
          <cell r="C12" t="str">
            <v></v>
          </cell>
          <cell r="D12" t="str">
            <v xml:space="preserve"> 淨  砂</v>
          </cell>
          <cell r="E12">
            <v>0</v>
          </cell>
          <cell r="F12" t="str">
            <v></v>
          </cell>
          <cell r="G12">
            <v>1.08</v>
          </cell>
          <cell r="I12">
            <v>0</v>
          </cell>
          <cell r="K12" t="str">
            <v xml:space="preserve"> 普 通 工</v>
          </cell>
          <cell r="L12">
            <v>0</v>
          </cell>
          <cell r="M12" t="str">
            <v>工</v>
          </cell>
          <cell r="N12">
            <v>0.63</v>
          </cell>
          <cell r="O12">
            <v>530</v>
          </cell>
          <cell r="P12">
            <v>333.9</v>
          </cell>
          <cell r="R12" t="str">
            <v xml:space="preserve"> 工具搬運及損耗</v>
          </cell>
          <cell r="S12" t="str">
            <v>約勞力部份2%</v>
          </cell>
          <cell r="T12" t="str">
            <v>式</v>
          </cell>
          <cell r="U12">
            <v>1</v>
          </cell>
          <cell r="W12">
            <v>0</v>
          </cell>
          <cell r="Y12" t="str">
            <v xml:space="preserve"> 水  泥</v>
          </cell>
          <cell r="AA12" t="str">
            <v>包</v>
          </cell>
          <cell r="AB12">
            <v>8.1999999999999993</v>
          </cell>
          <cell r="AD12">
            <v>0</v>
          </cell>
          <cell r="AE12" t="str">
            <v>另計</v>
          </cell>
          <cell r="AK12">
            <v>0</v>
          </cell>
        </row>
        <row r="13">
          <cell r="A13" t="str">
            <v>a50</v>
          </cell>
          <cell r="B13" t="str">
            <v xml:space="preserve"> 人工拌合350kg/c㎡混凝土</v>
          </cell>
          <cell r="C13" t="str">
            <v></v>
          </cell>
          <cell r="D13" t="str">
            <v xml:space="preserve"> 淨  砂</v>
          </cell>
          <cell r="E13">
            <v>0</v>
          </cell>
          <cell r="F13" t="str">
            <v></v>
          </cell>
          <cell r="G13">
            <v>0.54</v>
          </cell>
          <cell r="I13">
            <v>0</v>
          </cell>
          <cell r="K13" t="str">
            <v xml:space="preserve"> 洗 石 子</v>
          </cell>
          <cell r="L13">
            <v>0</v>
          </cell>
          <cell r="M13" t="str">
            <v></v>
          </cell>
          <cell r="N13">
            <v>0.75</v>
          </cell>
          <cell r="P13">
            <v>0</v>
          </cell>
          <cell r="R13" t="str">
            <v xml:space="preserve"> 普 通 工</v>
          </cell>
          <cell r="S13">
            <v>0</v>
          </cell>
          <cell r="T13" t="str">
            <v>工</v>
          </cell>
          <cell r="U13">
            <v>1.52</v>
          </cell>
          <cell r="V13">
            <v>530</v>
          </cell>
          <cell r="W13">
            <v>805.6</v>
          </cell>
          <cell r="Y13" t="str">
            <v xml:space="preserve"> 工具搬運及損耗</v>
          </cell>
          <cell r="Z13" t="str">
            <v>約勞力部份3%</v>
          </cell>
          <cell r="AA13" t="str">
            <v>式</v>
          </cell>
          <cell r="AB13">
            <v>1</v>
          </cell>
          <cell r="AD13">
            <v>0</v>
          </cell>
          <cell r="AF13" t="str">
            <v xml:space="preserve"> 水  泥</v>
          </cell>
          <cell r="AH13" t="str">
            <v>包</v>
          </cell>
          <cell r="AI13">
            <v>8.5</v>
          </cell>
          <cell r="AK13">
            <v>0</v>
          </cell>
          <cell r="AL13" t="str">
            <v>另計</v>
          </cell>
        </row>
        <row r="14">
          <cell r="A14" t="str">
            <v>a51</v>
          </cell>
          <cell r="B14" t="str">
            <v xml:space="preserve"> 人工拌合210kg/c㎡混凝土</v>
          </cell>
          <cell r="C14" t="str">
            <v></v>
          </cell>
          <cell r="D14" t="str">
            <v xml:space="preserve"> 淨  砂</v>
          </cell>
          <cell r="E14">
            <v>0</v>
          </cell>
          <cell r="F14" t="str">
            <v></v>
          </cell>
          <cell r="G14">
            <v>0.43</v>
          </cell>
          <cell r="I14">
            <v>0</v>
          </cell>
          <cell r="K14" t="str">
            <v xml:space="preserve"> 洗 石 子</v>
          </cell>
          <cell r="L14">
            <v>0</v>
          </cell>
          <cell r="M14" t="str">
            <v></v>
          </cell>
          <cell r="N14">
            <v>0.86</v>
          </cell>
          <cell r="P14">
            <v>0</v>
          </cell>
          <cell r="R14" t="str">
            <v xml:space="preserve"> 普 通 工</v>
          </cell>
          <cell r="S14">
            <v>0</v>
          </cell>
          <cell r="T14" t="str">
            <v>工</v>
          </cell>
          <cell r="U14">
            <v>1.3</v>
          </cell>
          <cell r="V14">
            <v>530</v>
          </cell>
          <cell r="W14">
            <v>689</v>
          </cell>
          <cell r="Y14" t="str">
            <v xml:space="preserve"> 工具搬運及損耗</v>
          </cell>
          <cell r="Z14" t="str">
            <v>約勞力部份3%</v>
          </cell>
          <cell r="AA14" t="str">
            <v>式</v>
          </cell>
          <cell r="AB14">
            <v>1</v>
          </cell>
          <cell r="AD14">
            <v>0</v>
          </cell>
          <cell r="AF14" t="str">
            <v xml:space="preserve"> 水  泥</v>
          </cell>
          <cell r="AH14" t="str">
            <v>包</v>
          </cell>
          <cell r="AI14">
            <v>6.4</v>
          </cell>
          <cell r="AK14">
            <v>0</v>
          </cell>
          <cell r="AL14" t="str">
            <v>另計</v>
          </cell>
        </row>
        <row r="15">
          <cell r="A15" t="str">
            <v>a52</v>
          </cell>
          <cell r="B15" t="str">
            <v xml:space="preserve"> 人工拌合140kg/c㎡混凝土</v>
          </cell>
          <cell r="C15" t="str">
            <v></v>
          </cell>
          <cell r="D15" t="str">
            <v xml:space="preserve"> 淨  砂</v>
          </cell>
          <cell r="E15">
            <v>0</v>
          </cell>
          <cell r="F15" t="str">
            <v></v>
          </cell>
          <cell r="G15">
            <v>0.45</v>
          </cell>
          <cell r="I15">
            <v>0</v>
          </cell>
          <cell r="K15" t="str">
            <v xml:space="preserve"> 洗 石 子</v>
          </cell>
          <cell r="L15">
            <v>0</v>
          </cell>
          <cell r="M15" t="str">
            <v></v>
          </cell>
          <cell r="N15">
            <v>0.9</v>
          </cell>
          <cell r="P15">
            <v>0</v>
          </cell>
          <cell r="R15" t="str">
            <v xml:space="preserve"> 普 通 工</v>
          </cell>
          <cell r="S15">
            <v>0</v>
          </cell>
          <cell r="T15" t="str">
            <v>工</v>
          </cell>
          <cell r="U15">
            <v>1.25</v>
          </cell>
          <cell r="V15">
            <v>530</v>
          </cell>
          <cell r="W15">
            <v>662.5</v>
          </cell>
          <cell r="Y15" t="str">
            <v xml:space="preserve"> 工具搬運及損耗</v>
          </cell>
          <cell r="Z15" t="str">
            <v>約勞力部份3%</v>
          </cell>
          <cell r="AA15" t="str">
            <v>式</v>
          </cell>
          <cell r="AB15">
            <v>1</v>
          </cell>
          <cell r="AD15">
            <v>0</v>
          </cell>
          <cell r="AF15" t="str">
            <v xml:space="preserve"> 水  泥</v>
          </cell>
          <cell r="AH15" t="str">
            <v>包</v>
          </cell>
          <cell r="AI15">
            <v>4.5</v>
          </cell>
          <cell r="AK15">
            <v>0</v>
          </cell>
          <cell r="AL15" t="str">
            <v>另計</v>
          </cell>
        </row>
        <row r="16">
          <cell r="A16" t="str">
            <v>a53</v>
          </cell>
          <cell r="B16" t="str">
            <v xml:space="preserve"> 人工拌合125kg/c㎡混凝土</v>
          </cell>
          <cell r="C16" t="str">
            <v></v>
          </cell>
          <cell r="D16" t="str">
            <v xml:space="preserve"> 淨  砂</v>
          </cell>
          <cell r="E16">
            <v>0</v>
          </cell>
          <cell r="F16" t="str">
            <v></v>
          </cell>
          <cell r="G16">
            <v>0.46</v>
          </cell>
          <cell r="I16">
            <v>0</v>
          </cell>
          <cell r="K16" t="str">
            <v xml:space="preserve"> 洗 石 子</v>
          </cell>
          <cell r="L16">
            <v>0</v>
          </cell>
          <cell r="M16" t="str">
            <v></v>
          </cell>
          <cell r="N16">
            <v>0.92</v>
          </cell>
          <cell r="P16">
            <v>0</v>
          </cell>
          <cell r="R16" t="str">
            <v xml:space="preserve"> 普 通 工</v>
          </cell>
          <cell r="S16">
            <v>0</v>
          </cell>
          <cell r="T16" t="str">
            <v>工</v>
          </cell>
          <cell r="U16">
            <v>1.2</v>
          </cell>
          <cell r="V16">
            <v>530</v>
          </cell>
          <cell r="W16">
            <v>636</v>
          </cell>
          <cell r="Y16" t="str">
            <v xml:space="preserve"> 工具搬運及損耗</v>
          </cell>
          <cell r="Z16" t="str">
            <v>約勞力部份3%</v>
          </cell>
          <cell r="AA16" t="str">
            <v>式</v>
          </cell>
          <cell r="AB16">
            <v>1</v>
          </cell>
          <cell r="AD16">
            <v>0</v>
          </cell>
          <cell r="AF16" t="str">
            <v xml:space="preserve"> 水  泥</v>
          </cell>
          <cell r="AH16" t="str">
            <v>包</v>
          </cell>
          <cell r="AI16">
            <v>3.5</v>
          </cell>
          <cell r="AK16">
            <v>0</v>
          </cell>
          <cell r="AL16" t="str">
            <v>另計</v>
          </cell>
        </row>
        <row r="17">
          <cell r="A17" t="str">
            <v>a55</v>
          </cell>
          <cell r="B17" t="str">
            <v xml:space="preserve"> 機拌 350kg/c㎡混凝土</v>
          </cell>
          <cell r="C17" t="str">
            <v></v>
          </cell>
          <cell r="D17" t="str">
            <v xml:space="preserve"> 淨  砂</v>
          </cell>
          <cell r="E17">
            <v>0</v>
          </cell>
          <cell r="F17" t="str">
            <v></v>
          </cell>
          <cell r="G17">
            <v>0.54</v>
          </cell>
          <cell r="I17">
            <v>0</v>
          </cell>
          <cell r="K17" t="str">
            <v xml:space="preserve"> 洗 石 子</v>
          </cell>
          <cell r="L17">
            <v>0</v>
          </cell>
          <cell r="M17" t="str">
            <v></v>
          </cell>
          <cell r="N17">
            <v>0.75</v>
          </cell>
          <cell r="P17">
            <v>0</v>
          </cell>
          <cell r="R17" t="str">
            <v xml:space="preserve"> 柴  油</v>
          </cell>
          <cell r="T17" t="str">
            <v>公升</v>
          </cell>
          <cell r="U17">
            <v>0.65</v>
          </cell>
          <cell r="V17">
            <v>12.1</v>
          </cell>
          <cell r="W17">
            <v>7.8650000000000002</v>
          </cell>
          <cell r="Y17" t="str">
            <v xml:space="preserve"> 半 技 工</v>
          </cell>
          <cell r="Z17">
            <v>0</v>
          </cell>
          <cell r="AA17" t="str">
            <v>工</v>
          </cell>
          <cell r="AB17">
            <v>0.1</v>
          </cell>
          <cell r="AC17">
            <v>560</v>
          </cell>
          <cell r="AD17">
            <v>56</v>
          </cell>
          <cell r="AF17" t="str">
            <v xml:space="preserve"> 普 通 工</v>
          </cell>
          <cell r="AG17">
            <v>0</v>
          </cell>
          <cell r="AH17" t="str">
            <v>工</v>
          </cell>
          <cell r="AI17">
            <v>0.85</v>
          </cell>
          <cell r="AJ17">
            <v>530</v>
          </cell>
          <cell r="AK17">
            <v>450.5</v>
          </cell>
          <cell r="AM17" t="str">
            <v xml:space="preserve"> 水  泥</v>
          </cell>
          <cell r="AO17" t="str">
            <v>包</v>
          </cell>
          <cell r="AP17">
            <v>9.5</v>
          </cell>
          <cell r="AS17" t="str">
            <v>另計</v>
          </cell>
          <cell r="AT17" t="str">
            <v xml:space="preserve"> 機 具 費</v>
          </cell>
          <cell r="AU17" t="str">
            <v>約燃料費10倍</v>
          </cell>
          <cell r="AV17" t="str">
            <v>式</v>
          </cell>
          <cell r="AW17">
            <v>1</v>
          </cell>
        </row>
        <row r="18">
          <cell r="A18" t="str">
            <v>a56</v>
          </cell>
          <cell r="B18" t="str">
            <v xml:space="preserve"> 機拌 210kg/c㎡混凝土</v>
          </cell>
          <cell r="C18" t="str">
            <v></v>
          </cell>
          <cell r="D18" t="str">
            <v xml:space="preserve"> 淨  砂</v>
          </cell>
          <cell r="E18">
            <v>0</v>
          </cell>
          <cell r="F18" t="str">
            <v></v>
          </cell>
          <cell r="G18">
            <v>0.43</v>
          </cell>
          <cell r="I18">
            <v>0</v>
          </cell>
          <cell r="K18" t="str">
            <v xml:space="preserve"> 洗 石 子</v>
          </cell>
          <cell r="L18">
            <v>0</v>
          </cell>
          <cell r="M18" t="str">
            <v></v>
          </cell>
          <cell r="N18">
            <v>0.86</v>
          </cell>
          <cell r="P18">
            <v>0</v>
          </cell>
          <cell r="R18" t="str">
            <v xml:space="preserve"> 柴  油</v>
          </cell>
          <cell r="T18" t="str">
            <v>公升</v>
          </cell>
          <cell r="U18">
            <v>0.6</v>
          </cell>
          <cell r="V18">
            <v>12.1</v>
          </cell>
          <cell r="W18">
            <v>7.26</v>
          </cell>
          <cell r="Y18" t="str">
            <v xml:space="preserve"> 一般技工</v>
          </cell>
          <cell r="Z18">
            <v>0</v>
          </cell>
          <cell r="AA18" t="str">
            <v>工</v>
          </cell>
          <cell r="AB18">
            <v>0.1</v>
          </cell>
          <cell r="AC18">
            <v>720</v>
          </cell>
          <cell r="AD18">
            <v>72</v>
          </cell>
          <cell r="AF18" t="str">
            <v xml:space="preserve"> 普 通 工</v>
          </cell>
          <cell r="AG18">
            <v>0</v>
          </cell>
          <cell r="AH18" t="str">
            <v>工</v>
          </cell>
          <cell r="AI18">
            <v>0.7</v>
          </cell>
          <cell r="AJ18">
            <v>530</v>
          </cell>
          <cell r="AK18">
            <v>371</v>
          </cell>
          <cell r="AM18" t="str">
            <v xml:space="preserve"> 水  泥</v>
          </cell>
          <cell r="AO18" t="str">
            <v>包</v>
          </cell>
          <cell r="AP18">
            <v>6.4</v>
          </cell>
          <cell r="AS18" t="str">
            <v>另計</v>
          </cell>
          <cell r="AT18" t="str">
            <v xml:space="preserve"> 機 具 費</v>
          </cell>
          <cell r="AU18" t="str">
            <v>約燃料費10倍</v>
          </cell>
          <cell r="AV18" t="str">
            <v>式</v>
          </cell>
          <cell r="AW18">
            <v>1</v>
          </cell>
        </row>
        <row r="19">
          <cell r="A19" t="str">
            <v>a57</v>
          </cell>
          <cell r="B19" t="str">
            <v xml:space="preserve"> 機拌 175kg/c㎡混凝土</v>
          </cell>
          <cell r="C19" t="str">
            <v></v>
          </cell>
          <cell r="D19" t="str">
            <v xml:space="preserve"> 淨  砂</v>
          </cell>
          <cell r="E19">
            <v>0</v>
          </cell>
          <cell r="F19" t="str">
            <v></v>
          </cell>
          <cell r="G19">
            <v>0.43</v>
          </cell>
          <cell r="I19">
            <v>0</v>
          </cell>
          <cell r="K19" t="str">
            <v xml:space="preserve"> 洗 石 子</v>
          </cell>
          <cell r="L19">
            <v>0</v>
          </cell>
          <cell r="M19" t="str">
            <v></v>
          </cell>
          <cell r="N19">
            <v>0.86</v>
          </cell>
          <cell r="P19">
            <v>0</v>
          </cell>
          <cell r="R19" t="str">
            <v xml:space="preserve"> 柴  油</v>
          </cell>
          <cell r="T19" t="str">
            <v>公升</v>
          </cell>
          <cell r="U19">
            <v>0.55000000000000004</v>
          </cell>
          <cell r="V19">
            <v>12.1</v>
          </cell>
          <cell r="W19">
            <v>6.6550000000000002</v>
          </cell>
          <cell r="Y19" t="str">
            <v xml:space="preserve"> 一般技工</v>
          </cell>
          <cell r="Z19">
            <v>0</v>
          </cell>
          <cell r="AA19" t="str">
            <v>工</v>
          </cell>
          <cell r="AB19">
            <v>0.1</v>
          </cell>
          <cell r="AC19">
            <v>720</v>
          </cell>
          <cell r="AD19">
            <v>72</v>
          </cell>
          <cell r="AF19" t="str">
            <v xml:space="preserve"> 普 通 工</v>
          </cell>
          <cell r="AG19">
            <v>0</v>
          </cell>
          <cell r="AH19" t="str">
            <v>工</v>
          </cell>
          <cell r="AI19">
            <v>0.66</v>
          </cell>
          <cell r="AJ19">
            <v>530</v>
          </cell>
          <cell r="AK19">
            <v>349.8</v>
          </cell>
          <cell r="AM19" t="str">
            <v xml:space="preserve"> 水  泥</v>
          </cell>
          <cell r="AO19" t="str">
            <v>包</v>
          </cell>
          <cell r="AP19">
            <v>5.5</v>
          </cell>
          <cell r="AS19" t="str">
            <v>另計</v>
          </cell>
          <cell r="AT19" t="str">
            <v xml:space="preserve"> 機 具 費</v>
          </cell>
          <cell r="AU19" t="str">
            <v>約燃料費10倍</v>
          </cell>
          <cell r="AV19" t="str">
            <v>式</v>
          </cell>
          <cell r="AW19">
            <v>1</v>
          </cell>
        </row>
        <row r="20">
          <cell r="A20" t="str">
            <v>a58</v>
          </cell>
          <cell r="B20" t="str">
            <v xml:space="preserve"> 機拌 140kg/c㎡混凝土</v>
          </cell>
          <cell r="C20" t="str">
            <v></v>
          </cell>
          <cell r="D20" t="str">
            <v xml:space="preserve"> 淨  砂</v>
          </cell>
          <cell r="E20">
            <v>0</v>
          </cell>
          <cell r="F20" t="str">
            <v></v>
          </cell>
          <cell r="G20">
            <v>0.45</v>
          </cell>
          <cell r="I20">
            <v>0</v>
          </cell>
          <cell r="K20" t="str">
            <v xml:space="preserve"> 洗 石 子</v>
          </cell>
          <cell r="L20">
            <v>0</v>
          </cell>
          <cell r="M20" t="str">
            <v></v>
          </cell>
          <cell r="N20">
            <v>0.9</v>
          </cell>
          <cell r="P20">
            <v>0</v>
          </cell>
          <cell r="R20" t="str">
            <v xml:space="preserve"> 柴  油</v>
          </cell>
          <cell r="T20" t="str">
            <v>公升</v>
          </cell>
          <cell r="U20">
            <v>0.5</v>
          </cell>
          <cell r="V20">
            <v>12.1</v>
          </cell>
          <cell r="W20">
            <v>6.05</v>
          </cell>
          <cell r="Y20" t="str">
            <v xml:space="preserve"> 一般技工</v>
          </cell>
          <cell r="Z20">
            <v>0</v>
          </cell>
          <cell r="AA20" t="str">
            <v>工</v>
          </cell>
          <cell r="AB20">
            <v>0.1</v>
          </cell>
          <cell r="AC20">
            <v>720</v>
          </cell>
          <cell r="AD20">
            <v>72</v>
          </cell>
          <cell r="AF20" t="str">
            <v xml:space="preserve"> 普 通 工</v>
          </cell>
          <cell r="AG20">
            <v>0</v>
          </cell>
          <cell r="AH20" t="str">
            <v>工</v>
          </cell>
          <cell r="AI20">
            <v>0.65</v>
          </cell>
          <cell r="AJ20">
            <v>530</v>
          </cell>
          <cell r="AK20">
            <v>344.5</v>
          </cell>
          <cell r="AM20" t="str">
            <v xml:space="preserve"> 水  泥</v>
          </cell>
          <cell r="AO20" t="str">
            <v>包</v>
          </cell>
          <cell r="AP20">
            <v>4.5</v>
          </cell>
          <cell r="AS20" t="str">
            <v>另計</v>
          </cell>
          <cell r="AT20" t="str">
            <v xml:space="preserve"> 機 具 費</v>
          </cell>
          <cell r="AU20" t="str">
            <v>約燃料費10倍</v>
          </cell>
          <cell r="AV20" t="str">
            <v>式</v>
          </cell>
          <cell r="AW20">
            <v>1</v>
          </cell>
        </row>
        <row r="21">
          <cell r="A21" t="str">
            <v>a59</v>
          </cell>
          <cell r="B21" t="str">
            <v xml:space="preserve"> 機拌 125kg/c㎡混凝土</v>
          </cell>
          <cell r="C21" t="str">
            <v></v>
          </cell>
          <cell r="D21" t="str">
            <v xml:space="preserve"> 淨  砂</v>
          </cell>
          <cell r="E21">
            <v>0</v>
          </cell>
          <cell r="F21" t="str">
            <v></v>
          </cell>
          <cell r="G21">
            <v>0.46</v>
          </cell>
          <cell r="I21">
            <v>0</v>
          </cell>
          <cell r="K21" t="str">
            <v xml:space="preserve"> 洗 石 子</v>
          </cell>
          <cell r="L21">
            <v>0</v>
          </cell>
          <cell r="M21" t="str">
            <v></v>
          </cell>
          <cell r="N21">
            <v>0.92</v>
          </cell>
          <cell r="P21">
            <v>0</v>
          </cell>
          <cell r="R21" t="str">
            <v xml:space="preserve"> 柴  油</v>
          </cell>
          <cell r="T21" t="str">
            <v>公升</v>
          </cell>
          <cell r="U21">
            <v>0.45</v>
          </cell>
          <cell r="V21">
            <v>12.1</v>
          </cell>
          <cell r="W21">
            <v>5.4450000000000003</v>
          </cell>
          <cell r="Y21" t="str">
            <v xml:space="preserve"> 一般技工</v>
          </cell>
          <cell r="Z21">
            <v>0</v>
          </cell>
          <cell r="AA21" t="str">
            <v>工</v>
          </cell>
          <cell r="AB21">
            <v>0.1</v>
          </cell>
          <cell r="AC21">
            <v>720</v>
          </cell>
          <cell r="AD21">
            <v>72</v>
          </cell>
          <cell r="AF21" t="str">
            <v xml:space="preserve"> 普 通 工</v>
          </cell>
          <cell r="AG21">
            <v>0</v>
          </cell>
          <cell r="AH21" t="str">
            <v>工</v>
          </cell>
          <cell r="AI21">
            <v>0.65</v>
          </cell>
          <cell r="AJ21">
            <v>530</v>
          </cell>
          <cell r="AK21">
            <v>344.5</v>
          </cell>
          <cell r="AM21" t="str">
            <v xml:space="preserve"> 水  泥</v>
          </cell>
          <cell r="AO21" t="str">
            <v>包</v>
          </cell>
          <cell r="AP21">
            <v>3.5</v>
          </cell>
          <cell r="AS21" t="str">
            <v>另計</v>
          </cell>
          <cell r="AT21" t="str">
            <v xml:space="preserve"> 機 具 費</v>
          </cell>
          <cell r="AU21" t="str">
            <v>約燃料費10倍</v>
          </cell>
          <cell r="AV21" t="str">
            <v>式</v>
          </cell>
          <cell r="AW21">
            <v>1</v>
          </cell>
        </row>
        <row r="22">
          <cell r="A22" t="str">
            <v>a62</v>
          </cell>
          <cell r="B22" t="str">
            <v xml:space="preserve"> 7:3 卵(塊)石混凝土</v>
          </cell>
          <cell r="C22" t="str">
            <v></v>
          </cell>
          <cell r="D22" t="str">
            <v xml:space="preserve"> 1:3:6 混凝土</v>
          </cell>
          <cell r="E22">
            <v>0</v>
          </cell>
          <cell r="F22" t="str">
            <v></v>
          </cell>
          <cell r="G22">
            <v>0.7</v>
          </cell>
          <cell r="I22">
            <v>0</v>
          </cell>
          <cell r="K22" t="str">
            <v xml:space="preserve"> 卵(塊)石</v>
          </cell>
          <cell r="L22" t="str">
            <v>φ10~30cm以下</v>
          </cell>
          <cell r="M22" t="str">
            <v></v>
          </cell>
          <cell r="N22">
            <v>0.5</v>
          </cell>
          <cell r="P22">
            <v>0</v>
          </cell>
          <cell r="R22" t="str">
            <v xml:space="preserve"> 普 通 工</v>
          </cell>
          <cell r="S22">
            <v>0</v>
          </cell>
          <cell r="T22" t="str">
            <v>工</v>
          </cell>
          <cell r="U22">
            <v>0.26</v>
          </cell>
          <cell r="V22">
            <v>530</v>
          </cell>
          <cell r="W22">
            <v>137.80000000000001</v>
          </cell>
          <cell r="Y22" t="str">
            <v xml:space="preserve"> 工具搬運及損耗</v>
          </cell>
          <cell r="Z22" t="str">
            <v>約勞力部份3%</v>
          </cell>
          <cell r="AA22" t="str">
            <v>式</v>
          </cell>
          <cell r="AB22">
            <v>1</v>
          </cell>
          <cell r="AD22">
            <v>0</v>
          </cell>
          <cell r="AK22">
            <v>0</v>
          </cell>
        </row>
        <row r="23">
          <cell r="A23" t="str">
            <v>a69</v>
          </cell>
          <cell r="B23" t="str">
            <v xml:space="preserve"> 粗砌塊石</v>
          </cell>
          <cell r="C23" t="str">
            <v></v>
          </cell>
          <cell r="D23" t="str">
            <v xml:space="preserve"> 塊  石</v>
          </cell>
          <cell r="E23" t="str">
            <v>φ25cm</v>
          </cell>
          <cell r="F23" t="str">
            <v></v>
          </cell>
          <cell r="G23">
            <v>0.25</v>
          </cell>
          <cell r="I23">
            <v>0</v>
          </cell>
          <cell r="K23" t="str">
            <v xml:space="preserve"> 一般技工</v>
          </cell>
          <cell r="L23">
            <v>0</v>
          </cell>
          <cell r="M23" t="str">
            <v>工</v>
          </cell>
          <cell r="N23">
            <v>0.05</v>
          </cell>
          <cell r="O23">
            <v>720</v>
          </cell>
          <cell r="P23">
            <v>36</v>
          </cell>
          <cell r="R23" t="str">
            <v xml:space="preserve"> 普 通 工</v>
          </cell>
          <cell r="S23">
            <v>0</v>
          </cell>
          <cell r="T23" t="str">
            <v>工</v>
          </cell>
          <cell r="U23">
            <v>0.08</v>
          </cell>
          <cell r="V23">
            <v>530</v>
          </cell>
          <cell r="W23">
            <v>42.4</v>
          </cell>
          <cell r="Y23" t="str">
            <v xml:space="preserve"> 工具搬運及損耗</v>
          </cell>
          <cell r="Z23" t="str">
            <v>約勞力部份2%</v>
          </cell>
          <cell r="AA23" t="str">
            <v>式</v>
          </cell>
          <cell r="AB23">
            <v>1</v>
          </cell>
          <cell r="AD23">
            <v>0</v>
          </cell>
          <cell r="AK23">
            <v>0</v>
          </cell>
        </row>
        <row r="24">
          <cell r="A24" t="str">
            <v>a70</v>
          </cell>
          <cell r="B24" t="str">
            <v xml:space="preserve"> 混凝土砌塊石 φ20cm</v>
          </cell>
          <cell r="C24" t="str">
            <v></v>
          </cell>
          <cell r="D24" t="str">
            <v xml:space="preserve"> 塊  石</v>
          </cell>
          <cell r="E24" t="str">
            <v>長徑約φ20cm</v>
          </cell>
          <cell r="F24" t="str">
            <v></v>
          </cell>
          <cell r="G24">
            <v>0.2</v>
          </cell>
          <cell r="I24">
            <v>0</v>
          </cell>
          <cell r="K24" t="str">
            <v xml:space="preserve"> 1:3:6 混凝土</v>
          </cell>
          <cell r="L24">
            <v>0</v>
          </cell>
          <cell r="M24" t="str">
            <v></v>
          </cell>
          <cell r="N24">
            <v>0.06</v>
          </cell>
          <cell r="P24">
            <v>0</v>
          </cell>
          <cell r="R24" t="str">
            <v xml:space="preserve"> 1:3 水泥砂漿</v>
          </cell>
          <cell r="S24">
            <v>0</v>
          </cell>
          <cell r="T24" t="str">
            <v></v>
          </cell>
          <cell r="U24">
            <v>0.03</v>
          </cell>
          <cell r="W24">
            <v>0</v>
          </cell>
          <cell r="Y24" t="str">
            <v xml:space="preserve"> 砌 石 工</v>
          </cell>
          <cell r="Z24">
            <v>0</v>
          </cell>
          <cell r="AA24" t="str">
            <v>工</v>
          </cell>
          <cell r="AB24">
            <v>0.06</v>
          </cell>
          <cell r="AC24">
            <v>720</v>
          </cell>
          <cell r="AD24">
            <v>43.199999999999996</v>
          </cell>
          <cell r="AF24" t="str">
            <v xml:space="preserve"> 普 通 工</v>
          </cell>
          <cell r="AG24">
            <v>0</v>
          </cell>
          <cell r="AH24" t="str">
            <v>工</v>
          </cell>
          <cell r="AI24">
            <v>0.12</v>
          </cell>
          <cell r="AJ24">
            <v>530</v>
          </cell>
          <cell r="AK24">
            <v>63.599999999999994</v>
          </cell>
          <cell r="AM24" t="str">
            <v xml:space="preserve"> 工具搬運及損耗</v>
          </cell>
          <cell r="AN24" t="str">
            <v>約勞力部份2%</v>
          </cell>
          <cell r="AO24" t="str">
            <v>式</v>
          </cell>
          <cell r="AP24">
            <v>1</v>
          </cell>
        </row>
        <row r="25">
          <cell r="A25" t="str">
            <v>a71</v>
          </cell>
          <cell r="B25" t="str">
            <v xml:space="preserve"> 混凝土砌塊石 φ25cm</v>
          </cell>
          <cell r="C25" t="str">
            <v></v>
          </cell>
          <cell r="D25" t="str">
            <v xml:space="preserve"> 塊  石</v>
          </cell>
          <cell r="E25" t="str">
            <v>長徑約φ25cm</v>
          </cell>
          <cell r="F25" t="str">
            <v></v>
          </cell>
          <cell r="G25">
            <v>0.25</v>
          </cell>
          <cell r="I25">
            <v>0</v>
          </cell>
          <cell r="K25" t="str">
            <v xml:space="preserve"> 1:3:6 混凝土</v>
          </cell>
          <cell r="L25">
            <v>0</v>
          </cell>
          <cell r="M25" t="str">
            <v></v>
          </cell>
          <cell r="N25">
            <v>0.06</v>
          </cell>
          <cell r="P25">
            <v>0</v>
          </cell>
          <cell r="R25" t="str">
            <v xml:space="preserve"> 1:3 水泥砂漿</v>
          </cell>
          <cell r="S25">
            <v>0</v>
          </cell>
          <cell r="T25" t="str">
            <v></v>
          </cell>
          <cell r="U25">
            <v>0.03</v>
          </cell>
          <cell r="W25">
            <v>0</v>
          </cell>
          <cell r="Y25" t="str">
            <v xml:space="preserve"> 一般技工</v>
          </cell>
          <cell r="Z25">
            <v>0</v>
          </cell>
          <cell r="AA25" t="str">
            <v>工</v>
          </cell>
          <cell r="AB25">
            <v>0.06</v>
          </cell>
          <cell r="AC25">
            <v>720</v>
          </cell>
          <cell r="AD25">
            <v>43.199999999999996</v>
          </cell>
          <cell r="AF25" t="str">
            <v xml:space="preserve"> 普 通 工</v>
          </cell>
          <cell r="AG25">
            <v>0</v>
          </cell>
          <cell r="AH25" t="str">
            <v>工</v>
          </cell>
          <cell r="AI25">
            <v>0.13</v>
          </cell>
          <cell r="AJ25">
            <v>530</v>
          </cell>
          <cell r="AK25">
            <v>68.900000000000006</v>
          </cell>
          <cell r="AM25" t="str">
            <v xml:space="preserve"> 工具搬運及損耗</v>
          </cell>
          <cell r="AN25" t="str">
            <v>約勞力部份2%</v>
          </cell>
          <cell r="AO25" t="str">
            <v>式</v>
          </cell>
          <cell r="AP25">
            <v>1</v>
          </cell>
        </row>
        <row r="26">
          <cell r="A26" t="str">
            <v>a72</v>
          </cell>
          <cell r="B26" t="str">
            <v xml:space="preserve"> 混凝土砌塊石 φ30cm</v>
          </cell>
          <cell r="C26" t="str">
            <v></v>
          </cell>
          <cell r="D26" t="str">
            <v xml:space="preserve"> 塊  石</v>
          </cell>
          <cell r="E26" t="str">
            <v>長徑約φ30cm</v>
          </cell>
          <cell r="F26" t="str">
            <v></v>
          </cell>
          <cell r="G26">
            <v>0.3</v>
          </cell>
          <cell r="I26">
            <v>0</v>
          </cell>
          <cell r="K26" t="str">
            <v xml:space="preserve"> 1:3:6 混凝土</v>
          </cell>
          <cell r="L26">
            <v>0</v>
          </cell>
          <cell r="M26" t="str">
            <v></v>
          </cell>
          <cell r="N26">
            <v>7.0000000000000007E-2</v>
          </cell>
          <cell r="P26">
            <v>0</v>
          </cell>
          <cell r="R26" t="str">
            <v xml:space="preserve"> 1:3 水泥砂漿</v>
          </cell>
          <cell r="S26">
            <v>0</v>
          </cell>
          <cell r="T26" t="str">
            <v></v>
          </cell>
          <cell r="U26">
            <v>0.03</v>
          </cell>
          <cell r="W26">
            <v>0</v>
          </cell>
          <cell r="Y26" t="str">
            <v xml:space="preserve"> 一般技工</v>
          </cell>
          <cell r="Z26">
            <v>0</v>
          </cell>
          <cell r="AA26" t="str">
            <v>工</v>
          </cell>
          <cell r="AB26">
            <v>0.06</v>
          </cell>
          <cell r="AC26">
            <v>720</v>
          </cell>
          <cell r="AD26">
            <v>43.199999999999996</v>
          </cell>
          <cell r="AF26" t="str">
            <v xml:space="preserve"> 普 通 工</v>
          </cell>
          <cell r="AG26">
            <v>0</v>
          </cell>
          <cell r="AH26" t="str">
            <v>工</v>
          </cell>
          <cell r="AI26">
            <v>0.14000000000000001</v>
          </cell>
          <cell r="AJ26">
            <v>530</v>
          </cell>
          <cell r="AK26">
            <v>74.2</v>
          </cell>
          <cell r="AM26" t="str">
            <v xml:space="preserve"> 工具搬運及損耗</v>
          </cell>
          <cell r="AN26" t="str">
            <v>約勞力部份2%</v>
          </cell>
          <cell r="AO26" t="str">
            <v>式</v>
          </cell>
          <cell r="AP26">
            <v>1</v>
          </cell>
        </row>
        <row r="27">
          <cell r="A27" t="str">
            <v>a73</v>
          </cell>
          <cell r="B27" t="str">
            <v xml:space="preserve"> 混凝土砌角石 25x25x30cm</v>
          </cell>
          <cell r="C27" t="str">
            <v></v>
          </cell>
          <cell r="D27" t="str">
            <v xml:space="preserve"> 角  石</v>
          </cell>
          <cell r="E27" t="str">
            <v>25x25x30cm</v>
          </cell>
          <cell r="F27" t="str">
            <v>塊</v>
          </cell>
          <cell r="G27">
            <v>12.8</v>
          </cell>
          <cell r="I27">
            <v>0</v>
          </cell>
          <cell r="K27" t="str">
            <v xml:space="preserve"> 1:3:6 混凝土</v>
          </cell>
          <cell r="L27">
            <v>0</v>
          </cell>
          <cell r="M27" t="str">
            <v></v>
          </cell>
          <cell r="N27">
            <v>0.06</v>
          </cell>
          <cell r="P27">
            <v>0</v>
          </cell>
          <cell r="R27" t="str">
            <v xml:space="preserve"> 1:3 水泥砂漿</v>
          </cell>
          <cell r="S27">
            <v>0</v>
          </cell>
          <cell r="T27" t="str">
            <v></v>
          </cell>
          <cell r="U27">
            <v>7.0000000000000001E-3</v>
          </cell>
          <cell r="W27">
            <v>0</v>
          </cell>
          <cell r="Y27" t="str">
            <v xml:space="preserve"> 一般技工</v>
          </cell>
          <cell r="Z27">
            <v>0</v>
          </cell>
          <cell r="AA27" t="str">
            <v>工</v>
          </cell>
          <cell r="AB27">
            <v>0.12</v>
          </cell>
          <cell r="AC27">
            <v>720</v>
          </cell>
          <cell r="AD27">
            <v>86.399999999999991</v>
          </cell>
          <cell r="AF27" t="str">
            <v xml:space="preserve"> 普 通 工</v>
          </cell>
          <cell r="AG27">
            <v>0</v>
          </cell>
          <cell r="AH27" t="str">
            <v>工</v>
          </cell>
          <cell r="AI27">
            <v>0.25</v>
          </cell>
          <cell r="AJ27">
            <v>530</v>
          </cell>
          <cell r="AK27">
            <v>132.5</v>
          </cell>
          <cell r="AM27" t="str">
            <v xml:space="preserve"> 工具搬運及損耗</v>
          </cell>
          <cell r="AN27" t="str">
            <v>約勞力部份3%</v>
          </cell>
          <cell r="AO27" t="str">
            <v>式</v>
          </cell>
          <cell r="AP27">
            <v>1</v>
          </cell>
        </row>
        <row r="28">
          <cell r="A28" t="str">
            <v>a74</v>
          </cell>
          <cell r="B28" t="str">
            <v xml:space="preserve"> 背填卵石</v>
          </cell>
          <cell r="C28" t="str">
            <v></v>
          </cell>
          <cell r="D28" t="str">
            <v xml:space="preserve"> 卵  石</v>
          </cell>
          <cell r="F28" t="str">
            <v></v>
          </cell>
          <cell r="G28">
            <v>1</v>
          </cell>
          <cell r="I28">
            <v>0</v>
          </cell>
          <cell r="K28" t="str">
            <v xml:space="preserve"> 普 通 工</v>
          </cell>
          <cell r="L28">
            <v>0</v>
          </cell>
          <cell r="M28" t="str">
            <v>工</v>
          </cell>
          <cell r="N28">
            <v>0.2</v>
          </cell>
          <cell r="O28">
            <v>530</v>
          </cell>
          <cell r="P28">
            <v>106</v>
          </cell>
          <cell r="R28" t="str">
            <v xml:space="preserve"> 工具搬運及損耗</v>
          </cell>
          <cell r="S28" t="str">
            <v>約勞力部份2%</v>
          </cell>
          <cell r="T28" t="str">
            <v>式</v>
          </cell>
          <cell r="U28">
            <v>1</v>
          </cell>
          <cell r="W28">
            <v>0</v>
          </cell>
          <cell r="AD28">
            <v>0</v>
          </cell>
          <cell r="AK28">
            <v>0</v>
          </cell>
        </row>
        <row r="29">
          <cell r="A29" t="str">
            <v>a75</v>
          </cell>
          <cell r="B29" t="str">
            <v xml:space="preserve"> 混凝土砌割石 ( 石面 0.04㎡ )</v>
          </cell>
          <cell r="C29" t="str">
            <v></v>
          </cell>
          <cell r="D29" t="str">
            <v xml:space="preserve"> 割  石</v>
          </cell>
          <cell r="E29" t="str">
            <v>φ30cm</v>
          </cell>
          <cell r="F29" t="str">
            <v></v>
          </cell>
          <cell r="G29">
            <v>0.3</v>
          </cell>
          <cell r="I29">
            <v>0</v>
          </cell>
          <cell r="K29" t="str">
            <v xml:space="preserve"> 1:3:6 混凝土</v>
          </cell>
          <cell r="L29">
            <v>0</v>
          </cell>
          <cell r="M29" t="str">
            <v></v>
          </cell>
          <cell r="N29">
            <v>0.06</v>
          </cell>
          <cell r="P29">
            <v>0</v>
          </cell>
          <cell r="R29" t="str">
            <v xml:space="preserve"> 1:3 水泥砂漿</v>
          </cell>
          <cell r="S29">
            <v>0</v>
          </cell>
          <cell r="T29" t="str">
            <v></v>
          </cell>
          <cell r="U29">
            <v>7.0000000000000001E-3</v>
          </cell>
          <cell r="W29">
            <v>0</v>
          </cell>
          <cell r="Y29" t="str">
            <v xml:space="preserve"> 一般技工</v>
          </cell>
          <cell r="Z29">
            <v>0</v>
          </cell>
          <cell r="AA29" t="str">
            <v>工</v>
          </cell>
          <cell r="AB29">
            <v>0.1</v>
          </cell>
          <cell r="AC29">
            <v>720</v>
          </cell>
          <cell r="AD29">
            <v>72</v>
          </cell>
          <cell r="AF29" t="str">
            <v xml:space="preserve"> 普 通 工</v>
          </cell>
          <cell r="AG29">
            <v>0</v>
          </cell>
          <cell r="AH29" t="str">
            <v>工</v>
          </cell>
          <cell r="AI29">
            <v>0.24</v>
          </cell>
          <cell r="AJ29">
            <v>530</v>
          </cell>
          <cell r="AK29">
            <v>127.19999999999999</v>
          </cell>
          <cell r="AM29" t="str">
            <v xml:space="preserve"> 工具搬運及損耗</v>
          </cell>
          <cell r="AN29" t="str">
            <v>約勞力部份3%</v>
          </cell>
          <cell r="AO29" t="str">
            <v>式</v>
          </cell>
          <cell r="AP29">
            <v>1</v>
          </cell>
        </row>
        <row r="30">
          <cell r="A30" t="str">
            <v>a78</v>
          </cell>
          <cell r="B30" t="str">
            <v xml:space="preserve"> 乾砌塊石(φ30cm)</v>
          </cell>
          <cell r="C30" t="str">
            <v></v>
          </cell>
          <cell r="D30" t="str">
            <v xml:space="preserve"> 塊  石</v>
          </cell>
          <cell r="E30" t="str">
            <v>長徑約φ30cm</v>
          </cell>
          <cell r="F30" t="str">
            <v></v>
          </cell>
          <cell r="G30">
            <v>0.3</v>
          </cell>
          <cell r="I30">
            <v>0</v>
          </cell>
          <cell r="K30" t="str">
            <v xml:space="preserve"> 填隙石子</v>
          </cell>
          <cell r="M30" t="str">
            <v></v>
          </cell>
          <cell r="N30">
            <v>7.0000000000000007E-2</v>
          </cell>
          <cell r="R30" t="str">
            <v xml:space="preserve"> 一般技工</v>
          </cell>
          <cell r="S30">
            <v>0</v>
          </cell>
          <cell r="T30" t="str">
            <v>工</v>
          </cell>
          <cell r="U30">
            <v>7.0000000000000007E-2</v>
          </cell>
          <cell r="V30">
            <v>720</v>
          </cell>
          <cell r="W30">
            <v>50.400000000000006</v>
          </cell>
          <cell r="Y30" t="str">
            <v xml:space="preserve"> 普 通 工</v>
          </cell>
          <cell r="Z30">
            <v>0</v>
          </cell>
          <cell r="AA30" t="str">
            <v>工</v>
          </cell>
          <cell r="AB30">
            <v>0.11</v>
          </cell>
          <cell r="AC30">
            <v>530</v>
          </cell>
          <cell r="AD30">
            <v>58.3</v>
          </cell>
          <cell r="AF30" t="str">
            <v xml:space="preserve"> 工具搬運及損耗</v>
          </cell>
          <cell r="AG30" t="str">
            <v>約工資部份2%</v>
          </cell>
          <cell r="AH30" t="str">
            <v>式</v>
          </cell>
          <cell r="AI30">
            <v>1</v>
          </cell>
          <cell r="AK30">
            <v>0</v>
          </cell>
        </row>
        <row r="31">
          <cell r="A31" t="str">
            <v>a79</v>
          </cell>
          <cell r="B31" t="str">
            <v xml:space="preserve"> 排 塊 石</v>
          </cell>
          <cell r="C31" t="str">
            <v></v>
          </cell>
          <cell r="D31" t="str">
            <v xml:space="preserve"> 塊  石</v>
          </cell>
          <cell r="E31" t="str">
            <v>長徑約φ20cm</v>
          </cell>
          <cell r="F31" t="str">
            <v></v>
          </cell>
          <cell r="G31">
            <v>0.2</v>
          </cell>
          <cell r="I31">
            <v>0</v>
          </cell>
          <cell r="K31" t="str">
            <v xml:space="preserve"> 填隙石子</v>
          </cell>
          <cell r="M31" t="str">
            <v></v>
          </cell>
          <cell r="N31">
            <v>0.06</v>
          </cell>
          <cell r="R31" t="str">
            <v xml:space="preserve"> 一般技工</v>
          </cell>
          <cell r="S31">
            <v>0</v>
          </cell>
          <cell r="T31" t="str">
            <v>工</v>
          </cell>
          <cell r="U31">
            <v>0.05</v>
          </cell>
          <cell r="V31">
            <v>720</v>
          </cell>
          <cell r="W31">
            <v>36</v>
          </cell>
          <cell r="Y31" t="str">
            <v xml:space="preserve"> 普 通 工</v>
          </cell>
          <cell r="Z31">
            <v>0</v>
          </cell>
          <cell r="AA31" t="str">
            <v>工</v>
          </cell>
          <cell r="AB31">
            <v>0.08</v>
          </cell>
          <cell r="AC31">
            <v>530</v>
          </cell>
          <cell r="AD31">
            <v>42.4</v>
          </cell>
          <cell r="AF31" t="str">
            <v xml:space="preserve"> 工具搬運及損耗</v>
          </cell>
          <cell r="AG31" t="str">
            <v>約工資部份2%</v>
          </cell>
          <cell r="AH31" t="str">
            <v>式</v>
          </cell>
          <cell r="AI31">
            <v>1</v>
          </cell>
          <cell r="AK31">
            <v>0</v>
          </cell>
        </row>
        <row r="32">
          <cell r="A32" t="str">
            <v>a81</v>
          </cell>
          <cell r="B32" t="str">
            <v xml:space="preserve"> 乾砌大塊石擋土牆</v>
          </cell>
          <cell r="C32" t="str">
            <v></v>
          </cell>
          <cell r="D32" t="str">
            <v xml:space="preserve"> 塊  石</v>
          </cell>
          <cell r="E32" t="str">
            <v>長徑50cm以上</v>
          </cell>
          <cell r="F32" t="str">
            <v></v>
          </cell>
          <cell r="I32">
            <v>0</v>
          </cell>
          <cell r="K32" t="str">
            <v xml:space="preserve"> 特種技工</v>
          </cell>
          <cell r="L32">
            <v>0</v>
          </cell>
          <cell r="M32" t="str">
            <v>工</v>
          </cell>
          <cell r="N32">
            <v>0.08</v>
          </cell>
          <cell r="O32">
            <v>800</v>
          </cell>
          <cell r="P32">
            <v>64</v>
          </cell>
          <cell r="R32" t="str">
            <v xml:space="preserve"> 普 通 工</v>
          </cell>
          <cell r="S32">
            <v>0</v>
          </cell>
          <cell r="T32" t="str">
            <v>工</v>
          </cell>
          <cell r="U32">
            <v>0.08</v>
          </cell>
          <cell r="V32">
            <v>530</v>
          </cell>
          <cell r="W32">
            <v>42.4</v>
          </cell>
          <cell r="Y32" t="str">
            <v xml:space="preserve"> 挖 土 機</v>
          </cell>
          <cell r="AA32" t="str">
            <v>時</v>
          </cell>
          <cell r="AB32">
            <v>0.2</v>
          </cell>
          <cell r="AC32">
            <v>900</v>
          </cell>
          <cell r="AD32">
            <v>180</v>
          </cell>
          <cell r="AF32" t="str">
            <v xml:space="preserve"> 工具搬運及損耗</v>
          </cell>
          <cell r="AG32" t="str">
            <v>約工資部份3%</v>
          </cell>
          <cell r="AH32" t="str">
            <v>式</v>
          </cell>
          <cell r="AI32">
            <v>1</v>
          </cell>
        </row>
        <row r="33">
          <cell r="A33" t="str">
            <v>a82</v>
          </cell>
          <cell r="B33" t="str">
            <v xml:space="preserve"> 基礎模板製作及裝拆</v>
          </cell>
          <cell r="C33" t="str">
            <v></v>
          </cell>
          <cell r="D33" t="str">
            <v xml:space="preserve"> 板  料</v>
          </cell>
          <cell r="E33" t="str">
            <v>採八次計價</v>
          </cell>
          <cell r="F33" t="str">
            <v></v>
          </cell>
          <cell r="G33">
            <v>1.7999999999999999E-2</v>
          </cell>
          <cell r="H33">
            <v>1600</v>
          </cell>
          <cell r="I33">
            <v>28.799999999999997</v>
          </cell>
          <cell r="K33" t="str">
            <v xml:space="preserve"> 木  料(角材)</v>
          </cell>
          <cell r="L33" t="str">
            <v>採十次計價</v>
          </cell>
          <cell r="M33" t="str">
            <v></v>
          </cell>
          <cell r="N33">
            <v>1.4999999999999999E-2</v>
          </cell>
          <cell r="O33">
            <v>1200</v>
          </cell>
          <cell r="P33">
            <v>18</v>
          </cell>
          <cell r="R33" t="str">
            <v xml:space="preserve"> 圓  木(支撐)</v>
          </cell>
          <cell r="S33" t="str">
            <v>採十次計價</v>
          </cell>
          <cell r="T33" t="str">
            <v></v>
          </cell>
          <cell r="U33">
            <v>1.4999999999999999E-2</v>
          </cell>
          <cell r="V33">
            <v>900</v>
          </cell>
          <cell r="W33">
            <v>13.5</v>
          </cell>
          <cell r="Y33" t="str">
            <v xml:space="preserve"> 鐵  件</v>
          </cell>
          <cell r="Z33">
            <v>0</v>
          </cell>
          <cell r="AA33" t="str">
            <v>kg</v>
          </cell>
          <cell r="AB33">
            <v>0.5</v>
          </cell>
          <cell r="AC33">
            <v>20</v>
          </cell>
          <cell r="AD33">
            <v>10</v>
          </cell>
          <cell r="AF33" t="str">
            <v xml:space="preserve"> 一般技工</v>
          </cell>
          <cell r="AG33">
            <v>0</v>
          </cell>
          <cell r="AH33" t="str">
            <v>工</v>
          </cell>
          <cell r="AI33">
            <v>0.16</v>
          </cell>
          <cell r="AJ33">
            <v>720</v>
          </cell>
          <cell r="AK33">
            <v>115.2</v>
          </cell>
          <cell r="AM33" t="str">
            <v xml:space="preserve"> 普 通 工</v>
          </cell>
          <cell r="AN33">
            <v>0</v>
          </cell>
          <cell r="AO33" t="str">
            <v>工</v>
          </cell>
          <cell r="AP33">
            <v>0.03</v>
          </cell>
          <cell r="AQ33">
            <v>530</v>
          </cell>
          <cell r="AR33">
            <v>15.899999999999999</v>
          </cell>
          <cell r="AT33" t="str">
            <v xml:space="preserve"> 工具損耗及其他</v>
          </cell>
          <cell r="AU33" t="str">
            <v>約勞力部份2%</v>
          </cell>
          <cell r="AV33" t="str">
            <v>式</v>
          </cell>
          <cell r="AW33">
            <v>1</v>
          </cell>
        </row>
        <row r="34">
          <cell r="A34" t="str">
            <v>a83</v>
          </cell>
          <cell r="B34" t="str">
            <v xml:space="preserve"> 軀體模板製作及裝拆</v>
          </cell>
          <cell r="C34" t="str">
            <v></v>
          </cell>
          <cell r="D34" t="str">
            <v xml:space="preserve"> 板  料</v>
          </cell>
          <cell r="E34" t="str">
            <v>採八次計價</v>
          </cell>
          <cell r="F34" t="str">
            <v></v>
          </cell>
          <cell r="G34">
            <v>2.1000000000000001E-2</v>
          </cell>
          <cell r="H34">
            <v>1600</v>
          </cell>
          <cell r="I34">
            <v>33.6</v>
          </cell>
          <cell r="K34" t="str">
            <v xml:space="preserve"> 木  料(角材)</v>
          </cell>
          <cell r="L34" t="str">
            <v>採十次計價</v>
          </cell>
          <cell r="M34" t="str">
            <v></v>
          </cell>
          <cell r="N34">
            <v>0.03</v>
          </cell>
          <cell r="O34">
            <v>1200</v>
          </cell>
          <cell r="P34">
            <v>36</v>
          </cell>
          <cell r="R34" t="str">
            <v xml:space="preserve"> 圓  木(支撐)</v>
          </cell>
          <cell r="S34" t="str">
            <v>採十次計價</v>
          </cell>
          <cell r="T34" t="str">
            <v></v>
          </cell>
          <cell r="U34">
            <v>2.5000000000000001E-2</v>
          </cell>
          <cell r="V34">
            <v>900</v>
          </cell>
          <cell r="W34">
            <v>22.5</v>
          </cell>
          <cell r="Y34" t="str">
            <v xml:space="preserve"> 鐵  件</v>
          </cell>
          <cell r="Z34">
            <v>0</v>
          </cell>
          <cell r="AA34" t="str">
            <v>kg</v>
          </cell>
          <cell r="AB34">
            <v>0.6</v>
          </cell>
          <cell r="AC34">
            <v>20</v>
          </cell>
          <cell r="AD34">
            <v>12</v>
          </cell>
          <cell r="AF34" t="str">
            <v xml:space="preserve"> 一般技工</v>
          </cell>
          <cell r="AG34">
            <v>0</v>
          </cell>
          <cell r="AH34" t="str">
            <v>工</v>
          </cell>
          <cell r="AI34">
            <v>0.215</v>
          </cell>
          <cell r="AJ34">
            <v>720</v>
          </cell>
          <cell r="AK34">
            <v>154.80000000000001</v>
          </cell>
          <cell r="AM34" t="str">
            <v xml:space="preserve"> 普 通 工</v>
          </cell>
          <cell r="AN34">
            <v>0</v>
          </cell>
          <cell r="AO34" t="str">
            <v>工</v>
          </cell>
          <cell r="AP34">
            <v>4.4999999999999998E-2</v>
          </cell>
          <cell r="AQ34">
            <v>530</v>
          </cell>
          <cell r="AR34">
            <v>23.849999999999998</v>
          </cell>
          <cell r="AT34" t="str">
            <v xml:space="preserve"> 防水三夾板</v>
          </cell>
          <cell r="AU34" t="str">
            <v>3mm</v>
          </cell>
          <cell r="AV34" t="str">
            <v></v>
          </cell>
          <cell r="AW34">
            <v>1</v>
          </cell>
          <cell r="AX34">
            <v>30</v>
          </cell>
          <cell r="AZ34" t="str">
            <v>使用3次</v>
          </cell>
          <cell r="BA34" t="str">
            <v xml:space="preserve"> 工具損耗及其他</v>
          </cell>
          <cell r="BB34" t="str">
            <v>約勞力部份2%</v>
          </cell>
          <cell r="BC34" t="str">
            <v>式</v>
          </cell>
          <cell r="BD34">
            <v>1</v>
          </cell>
          <cell r="BE34">
            <v>0</v>
          </cell>
        </row>
        <row r="35">
          <cell r="A35" t="str">
            <v>a84</v>
          </cell>
          <cell r="B35" t="str">
            <v xml:space="preserve"> 結構模板製作及裝拆</v>
          </cell>
          <cell r="C35" t="str">
            <v></v>
          </cell>
          <cell r="D35" t="str">
            <v xml:space="preserve"> 板  料</v>
          </cell>
          <cell r="E35" t="str">
            <v>採八次計價</v>
          </cell>
          <cell r="F35" t="str">
            <v></v>
          </cell>
          <cell r="G35">
            <v>2.4E-2</v>
          </cell>
          <cell r="H35">
            <v>1600</v>
          </cell>
          <cell r="I35">
            <v>38.4</v>
          </cell>
          <cell r="K35" t="str">
            <v xml:space="preserve"> 木  料(角材)</v>
          </cell>
          <cell r="L35" t="str">
            <v>採十次計價</v>
          </cell>
          <cell r="M35" t="str">
            <v></v>
          </cell>
          <cell r="N35">
            <v>4.4999999999999998E-2</v>
          </cell>
          <cell r="O35">
            <v>1200</v>
          </cell>
          <cell r="P35">
            <v>54</v>
          </cell>
          <cell r="R35" t="str">
            <v xml:space="preserve"> 圓  木(支撐)</v>
          </cell>
          <cell r="S35" t="str">
            <v>採十次計價</v>
          </cell>
          <cell r="T35" t="str">
            <v></v>
          </cell>
          <cell r="U35">
            <v>1.4999999999999999E-2</v>
          </cell>
          <cell r="V35">
            <v>900</v>
          </cell>
          <cell r="W35">
            <v>13.5</v>
          </cell>
          <cell r="Y35" t="str">
            <v xml:space="preserve"> 鐵  件</v>
          </cell>
          <cell r="Z35">
            <v>0</v>
          </cell>
          <cell r="AA35" t="str">
            <v>kg</v>
          </cell>
          <cell r="AB35">
            <v>0.6</v>
          </cell>
          <cell r="AC35">
            <v>20</v>
          </cell>
          <cell r="AD35">
            <v>12</v>
          </cell>
          <cell r="AF35" t="str">
            <v xml:space="preserve"> 一般技工</v>
          </cell>
          <cell r="AG35">
            <v>0</v>
          </cell>
          <cell r="AH35" t="str">
            <v>工</v>
          </cell>
          <cell r="AI35">
            <v>0.28000000000000003</v>
          </cell>
          <cell r="AJ35">
            <v>720</v>
          </cell>
          <cell r="AK35">
            <v>201.60000000000002</v>
          </cell>
          <cell r="AM35" t="str">
            <v xml:space="preserve"> 普 通 工</v>
          </cell>
          <cell r="AN35">
            <v>0</v>
          </cell>
          <cell r="AO35" t="str">
            <v>工</v>
          </cell>
          <cell r="AP35">
            <v>0.06</v>
          </cell>
          <cell r="AQ35">
            <v>530</v>
          </cell>
          <cell r="AR35">
            <v>31.799999999999997</v>
          </cell>
          <cell r="AT35" t="str">
            <v xml:space="preserve"> 防水三夾板</v>
          </cell>
          <cell r="AU35" t="str">
            <v>3mm</v>
          </cell>
          <cell r="AV35" t="str">
            <v></v>
          </cell>
          <cell r="AW35">
            <v>1</v>
          </cell>
          <cell r="AX35">
            <v>30</v>
          </cell>
          <cell r="AZ35" t="str">
            <v>使用3次</v>
          </cell>
          <cell r="BA35" t="str">
            <v xml:space="preserve"> 工具損耗及其他</v>
          </cell>
          <cell r="BB35" t="str">
            <v>約勞力部份2%</v>
          </cell>
          <cell r="BC35" t="str">
            <v>式</v>
          </cell>
          <cell r="BD35">
            <v>1</v>
          </cell>
          <cell r="BE35">
            <v>0</v>
          </cell>
        </row>
        <row r="36">
          <cell r="A36" t="str">
            <v>a86</v>
          </cell>
          <cell r="B36" t="str">
            <v xml:space="preserve"> 軀體鋼模製作及裝拆</v>
          </cell>
          <cell r="C36" t="str">
            <v></v>
          </cell>
          <cell r="D36" t="str">
            <v xml:space="preserve"> 鋼鈑材料費</v>
          </cell>
          <cell r="E36" t="str">
            <v>3mm厚</v>
          </cell>
          <cell r="F36" t="str">
            <v>kg</v>
          </cell>
          <cell r="G36">
            <v>26</v>
          </cell>
          <cell r="K36" t="str">
            <v xml:space="preserve"> 角鋼材料費</v>
          </cell>
          <cell r="M36" t="str">
            <v>kg</v>
          </cell>
          <cell r="N36">
            <v>46</v>
          </cell>
          <cell r="R36" t="str">
            <v xml:space="preserve"> 鋼模製作費</v>
          </cell>
          <cell r="S36" t="str">
            <v>材料費50%</v>
          </cell>
          <cell r="T36" t="str">
            <v>式</v>
          </cell>
          <cell r="U36">
            <v>1</v>
          </cell>
          <cell r="Y36" t="str">
            <v xml:space="preserve"> 吊  車</v>
          </cell>
          <cell r="Z36" t="str">
            <v>20~35t級</v>
          </cell>
          <cell r="AA36" t="str">
            <v>時</v>
          </cell>
          <cell r="AB36">
            <v>0.06</v>
          </cell>
          <cell r="AF36" t="str">
            <v xml:space="preserve"> 扣  件</v>
          </cell>
          <cell r="AG36" t="str">
            <v>使用5次計</v>
          </cell>
          <cell r="AH36" t="str">
            <v>kg</v>
          </cell>
          <cell r="AI36">
            <v>5</v>
          </cell>
          <cell r="AM36" t="str">
            <v xml:space="preserve"> 其  它</v>
          </cell>
          <cell r="AN36" t="str">
            <v>材料費50%</v>
          </cell>
          <cell r="AO36" t="str">
            <v>式</v>
          </cell>
          <cell r="AP36">
            <v>1</v>
          </cell>
          <cell r="AT36" t="str">
            <v xml:space="preserve"> 一般技工</v>
          </cell>
          <cell r="AU36">
            <v>0</v>
          </cell>
          <cell r="AV36" t="str">
            <v>工</v>
          </cell>
          <cell r="AW36">
            <v>0.08</v>
          </cell>
          <cell r="AX36">
            <v>720</v>
          </cell>
          <cell r="AY36">
            <v>57.6</v>
          </cell>
          <cell r="BA36" t="str">
            <v xml:space="preserve"> 普 通 工</v>
          </cell>
          <cell r="BB36">
            <v>0</v>
          </cell>
          <cell r="BC36" t="str">
            <v>工</v>
          </cell>
          <cell r="BD36">
            <v>0.04</v>
          </cell>
          <cell r="BE36">
            <v>530</v>
          </cell>
          <cell r="BF36">
            <v>21.2</v>
          </cell>
          <cell r="BH36" t="str">
            <v xml:space="preserve"> 工具搬運及損耗</v>
          </cell>
          <cell r="BI36" t="str">
            <v>約工資部份3%</v>
          </cell>
          <cell r="BJ36" t="str">
            <v>式</v>
          </cell>
          <cell r="BK36">
            <v>1</v>
          </cell>
        </row>
        <row r="37">
          <cell r="A37" t="str">
            <v>a89</v>
          </cell>
          <cell r="B37" t="str">
            <v xml:space="preserve"> 鋪設級配路面(壓實厚t=15cm)</v>
          </cell>
          <cell r="C37" t="str">
            <v>100</v>
          </cell>
          <cell r="D37" t="str">
            <v xml:space="preserve"> 級配砂石料</v>
          </cell>
          <cell r="F37" t="str">
            <v></v>
          </cell>
          <cell r="G37">
            <v>18.75</v>
          </cell>
          <cell r="J37" t="str">
            <v>15x1.25=18.75</v>
          </cell>
          <cell r="K37" t="str">
            <v xml:space="preserve"> 普 通 工</v>
          </cell>
          <cell r="L37" t="str">
            <v>整理</v>
          </cell>
          <cell r="M37" t="str">
            <v>工</v>
          </cell>
          <cell r="N37">
            <v>0.16</v>
          </cell>
          <cell r="O37">
            <v>530</v>
          </cell>
          <cell r="P37">
            <v>84.8</v>
          </cell>
          <cell r="R37" t="str">
            <v xml:space="preserve"> 機 具 費</v>
          </cell>
          <cell r="S37" t="str">
            <v>整平</v>
          </cell>
          <cell r="T37" t="str">
            <v>時</v>
          </cell>
          <cell r="U37">
            <v>0.26</v>
          </cell>
          <cell r="Y37" t="str">
            <v xml:space="preserve"> 工具搬運及損耗</v>
          </cell>
          <cell r="Z37" t="str">
            <v>約工資部份2%</v>
          </cell>
          <cell r="AA37" t="str">
            <v>式</v>
          </cell>
          <cell r="AB37">
            <v>1</v>
          </cell>
        </row>
        <row r="38">
          <cell r="A38" t="str">
            <v>a92</v>
          </cell>
          <cell r="B38" t="str">
            <v xml:space="preserve"> 15cm厚碎石級配料底層舖壓</v>
          </cell>
          <cell r="C38" t="str">
            <v>100</v>
          </cell>
          <cell r="D38" t="str">
            <v xml:space="preserve"> 碎石級配料</v>
          </cell>
          <cell r="F38" t="str">
            <v></v>
          </cell>
          <cell r="G38">
            <v>18.75</v>
          </cell>
          <cell r="J38" t="str">
            <v>15x1.25=18.75</v>
          </cell>
          <cell r="K38" t="str">
            <v xml:space="preserve"> 普 通 工</v>
          </cell>
          <cell r="L38" t="str">
            <v/>
          </cell>
          <cell r="M38" t="str">
            <v>工</v>
          </cell>
          <cell r="N38">
            <v>0.1</v>
          </cell>
          <cell r="O38">
            <v>530</v>
          </cell>
          <cell r="P38">
            <v>53</v>
          </cell>
          <cell r="R38" t="str">
            <v xml:space="preserve"> 平 路 機</v>
          </cell>
          <cell r="S38" t="str">
            <v/>
          </cell>
          <cell r="T38" t="str">
            <v>時</v>
          </cell>
          <cell r="U38">
            <v>0.25</v>
          </cell>
          <cell r="V38">
            <v>784</v>
          </cell>
          <cell r="Y38" t="str">
            <v xml:space="preserve"> 灑 水 車</v>
          </cell>
          <cell r="AA38" t="str">
            <v>時</v>
          </cell>
          <cell r="AB38">
            <v>0.2</v>
          </cell>
          <cell r="AC38">
            <v>480</v>
          </cell>
          <cell r="AD38">
            <v>96</v>
          </cell>
          <cell r="AF38" t="str">
            <v xml:space="preserve"> 10~15T 壓路機</v>
          </cell>
          <cell r="AH38" t="str">
            <v>時</v>
          </cell>
          <cell r="AI38">
            <v>0.38</v>
          </cell>
          <cell r="AJ38">
            <v>560</v>
          </cell>
          <cell r="AK38">
            <v>212.8</v>
          </cell>
          <cell r="AM38" t="str">
            <v xml:space="preserve"> 工具搬運及損耗</v>
          </cell>
          <cell r="AN38" t="str">
            <v>約工資部份3%</v>
          </cell>
          <cell r="AO38" t="str">
            <v>式</v>
          </cell>
          <cell r="AP38">
            <v>1</v>
          </cell>
        </row>
        <row r="39">
          <cell r="A39" t="str">
            <v>a93</v>
          </cell>
          <cell r="B39" t="str">
            <v xml:space="preserve"> 滾  壓</v>
          </cell>
          <cell r="C39" t="str">
            <v>100</v>
          </cell>
          <cell r="D39" t="str">
            <v xml:space="preserve"> 特種技工</v>
          </cell>
          <cell r="E39">
            <v>0</v>
          </cell>
          <cell r="F39" t="str">
            <v>工</v>
          </cell>
          <cell r="G39">
            <v>0.7</v>
          </cell>
          <cell r="H39">
            <v>800</v>
          </cell>
          <cell r="I39">
            <v>560</v>
          </cell>
          <cell r="K39" t="str">
            <v xml:space="preserve"> 燃 料 油</v>
          </cell>
          <cell r="L39" t="str">
            <v>以柴油計價</v>
          </cell>
          <cell r="M39" t="str">
            <v>公升</v>
          </cell>
          <cell r="N39">
            <v>22</v>
          </cell>
          <cell r="O39">
            <v>100</v>
          </cell>
          <cell r="P39">
            <v>2200</v>
          </cell>
          <cell r="R39" t="str">
            <v xml:space="preserve"> 附屬油料及消耗品</v>
          </cell>
          <cell r="S39" t="str">
            <v>約燃料油部份15%</v>
          </cell>
          <cell r="T39" t="str">
            <v>式</v>
          </cell>
          <cell r="U39">
            <v>1</v>
          </cell>
          <cell r="Y39" t="str">
            <v xml:space="preserve"> 機具租金及運費</v>
          </cell>
          <cell r="Z39" t="str">
            <v>約工資部份30%</v>
          </cell>
          <cell r="AA39" t="str">
            <v>式</v>
          </cell>
          <cell r="AB39">
            <v>1</v>
          </cell>
        </row>
        <row r="40">
          <cell r="A40" t="str">
            <v>a94</v>
          </cell>
          <cell r="B40" t="str">
            <v xml:space="preserve"> 5公分灌入式瀝青面層</v>
          </cell>
          <cell r="C40" t="str">
            <v>100</v>
          </cell>
          <cell r="D40" t="str">
            <v xml:space="preserve"> 燃  料</v>
          </cell>
          <cell r="E40" t="str">
            <v>木柴</v>
          </cell>
          <cell r="F40" t="str">
            <v>kg</v>
          </cell>
          <cell r="G40">
            <v>216</v>
          </cell>
          <cell r="H40">
            <v>15</v>
          </cell>
          <cell r="K40" t="str">
            <v xml:space="preserve"> 粗 粒 料</v>
          </cell>
          <cell r="M40" t="str">
            <v></v>
          </cell>
          <cell r="N40">
            <v>5.4</v>
          </cell>
          <cell r="R40" t="str">
            <v xml:space="preserve"> 崁縫蓋面料</v>
          </cell>
          <cell r="T40" t="str">
            <v></v>
          </cell>
          <cell r="U40">
            <v>2.6</v>
          </cell>
          <cell r="Y40" t="str">
            <v xml:space="preserve"> 12T 壓路機</v>
          </cell>
          <cell r="AA40" t="str">
            <v>時</v>
          </cell>
          <cell r="AB40">
            <v>0.3</v>
          </cell>
          <cell r="AC40">
            <v>560</v>
          </cell>
          <cell r="AD40">
            <v>168</v>
          </cell>
          <cell r="AF40" t="str">
            <v xml:space="preserve"> 6~8T 壓路機</v>
          </cell>
          <cell r="AH40" t="str">
            <v>時</v>
          </cell>
          <cell r="AI40">
            <v>0.3</v>
          </cell>
          <cell r="AJ40">
            <v>450</v>
          </cell>
          <cell r="AK40">
            <v>135</v>
          </cell>
          <cell r="AM40" t="str">
            <v xml:space="preserve"> 85# 瀝青</v>
          </cell>
          <cell r="AO40" t="str">
            <v>公斤</v>
          </cell>
          <cell r="AP40">
            <v>640</v>
          </cell>
          <cell r="AQ40">
            <v>0</v>
          </cell>
          <cell r="AT40" t="str">
            <v xml:space="preserve"> 150# 瀝青</v>
          </cell>
          <cell r="AV40" t="str">
            <v>公斤</v>
          </cell>
          <cell r="AW40">
            <v>80</v>
          </cell>
          <cell r="AX40">
            <v>115</v>
          </cell>
          <cell r="BA40" t="str">
            <v xml:space="preserve"> 輕 柴 油</v>
          </cell>
          <cell r="BB40" t="str">
            <v>洗滌劑</v>
          </cell>
          <cell r="BC40" t="str">
            <v>公斤</v>
          </cell>
          <cell r="BD40">
            <v>1</v>
          </cell>
          <cell r="BE40">
            <v>20</v>
          </cell>
          <cell r="BF40">
            <v>20</v>
          </cell>
          <cell r="BH40" t="str">
            <v xml:space="preserve"> 一般技工</v>
          </cell>
          <cell r="BI40">
            <v>0</v>
          </cell>
          <cell r="BJ40" t="str">
            <v>工</v>
          </cell>
          <cell r="BK40">
            <v>0.5</v>
          </cell>
          <cell r="BL40">
            <v>720</v>
          </cell>
          <cell r="BM40">
            <v>360</v>
          </cell>
          <cell r="BO40" t="str">
            <v xml:space="preserve"> 普 通 工</v>
          </cell>
          <cell r="BP40">
            <v>0</v>
          </cell>
          <cell r="BQ40" t="str">
            <v>工</v>
          </cell>
          <cell r="BR40">
            <v>6</v>
          </cell>
          <cell r="BS40">
            <v>530</v>
          </cell>
        </row>
        <row r="41">
          <cell r="A41" t="str">
            <v>a95</v>
          </cell>
          <cell r="B41" t="str">
            <v xml:space="preserve"> 5公分瀝青混凝土面層</v>
          </cell>
          <cell r="C41" t="str">
            <v>100</v>
          </cell>
          <cell r="D41" t="str">
            <v xml:space="preserve"> 輕 柴 油</v>
          </cell>
          <cell r="E41" t="str">
            <v/>
          </cell>
          <cell r="F41" t="str">
            <v>公斤</v>
          </cell>
          <cell r="G41">
            <v>1</v>
          </cell>
          <cell r="H41">
            <v>20</v>
          </cell>
          <cell r="I41">
            <v>20</v>
          </cell>
          <cell r="K41" t="str">
            <v xml:space="preserve"> 瀝青混凝土鋪裝機</v>
          </cell>
          <cell r="M41" t="str">
            <v>時</v>
          </cell>
          <cell r="N41">
            <v>0.35</v>
          </cell>
          <cell r="O41">
            <v>800</v>
          </cell>
          <cell r="P41">
            <v>280</v>
          </cell>
          <cell r="R41" t="str">
            <v xml:space="preserve"> 12T 壓路機</v>
          </cell>
          <cell r="T41" t="str">
            <v>時</v>
          </cell>
          <cell r="U41">
            <v>0.35</v>
          </cell>
          <cell r="V41">
            <v>560</v>
          </cell>
          <cell r="W41">
            <v>196</v>
          </cell>
          <cell r="Y41" t="str">
            <v xml:space="preserve"> 6~8T 壓路機</v>
          </cell>
          <cell r="AA41" t="str">
            <v>時</v>
          </cell>
          <cell r="AB41">
            <v>0.35</v>
          </cell>
          <cell r="AC41">
            <v>450</v>
          </cell>
          <cell r="AD41">
            <v>157.5</v>
          </cell>
          <cell r="AF41" t="str">
            <v xml:space="preserve"> 膠輪壓路機</v>
          </cell>
          <cell r="AH41" t="str">
            <v>時</v>
          </cell>
          <cell r="AI41">
            <v>0.35</v>
          </cell>
          <cell r="AJ41">
            <v>600</v>
          </cell>
          <cell r="AK41">
            <v>210</v>
          </cell>
          <cell r="AM41" t="str">
            <v xml:space="preserve"> 拌 合 料</v>
          </cell>
          <cell r="AO41" t="str">
            <v></v>
          </cell>
          <cell r="AP41">
            <v>5</v>
          </cell>
          <cell r="AT41" t="str">
            <v xml:space="preserve"> 拌合料運費</v>
          </cell>
          <cell r="AV41" t="str">
            <v></v>
          </cell>
          <cell r="AW41">
            <v>5</v>
          </cell>
          <cell r="BA41" t="str">
            <v xml:space="preserve"> 一般技工</v>
          </cell>
          <cell r="BB41">
            <v>0</v>
          </cell>
          <cell r="BC41" t="str">
            <v>工</v>
          </cell>
          <cell r="BD41">
            <v>0.35</v>
          </cell>
          <cell r="BE41">
            <v>720</v>
          </cell>
          <cell r="BF41">
            <v>251.99999999999997</v>
          </cell>
          <cell r="BH41" t="str">
            <v xml:space="preserve"> 普 通 工</v>
          </cell>
          <cell r="BI41">
            <v>0</v>
          </cell>
          <cell r="BJ41" t="str">
            <v>工</v>
          </cell>
          <cell r="BK41">
            <v>0.6</v>
          </cell>
          <cell r="BL41">
            <v>530</v>
          </cell>
          <cell r="BM41">
            <v>318</v>
          </cell>
          <cell r="BO41" t="str">
            <v xml:space="preserve"> 工具搬運及損耗</v>
          </cell>
          <cell r="BP41" t="str">
            <v>約工資部份3%</v>
          </cell>
          <cell r="BQ41" t="str">
            <v>式</v>
          </cell>
          <cell r="BR41">
            <v>1</v>
          </cell>
        </row>
        <row r="42">
          <cell r="A42" t="str">
            <v>a96</v>
          </cell>
          <cell r="B42" t="str">
            <v xml:space="preserve"> 透  層(人工)</v>
          </cell>
          <cell r="C42" t="str">
            <v>100</v>
          </cell>
          <cell r="D42" t="str">
            <v xml:space="preserve"> 燃  料</v>
          </cell>
          <cell r="E42" t="str">
            <v>木柴</v>
          </cell>
          <cell r="F42" t="str">
            <v>kg</v>
          </cell>
          <cell r="G42">
            <v>10</v>
          </cell>
          <cell r="H42">
            <v>15</v>
          </cell>
          <cell r="K42" t="str">
            <v xml:space="preserve"> 砂</v>
          </cell>
          <cell r="M42" t="str">
            <v></v>
          </cell>
          <cell r="N42">
            <v>0.3</v>
          </cell>
          <cell r="R42" t="str">
            <v xml:space="preserve"> 瀝  青</v>
          </cell>
          <cell r="S42" t="str">
            <v>MC-1</v>
          </cell>
          <cell r="T42" t="str">
            <v>公斤</v>
          </cell>
          <cell r="U42">
            <v>80</v>
          </cell>
          <cell r="V42">
            <v>6000</v>
          </cell>
          <cell r="Y42" t="str">
            <v xml:space="preserve"> 一般技工</v>
          </cell>
          <cell r="Z42">
            <v>0</v>
          </cell>
          <cell r="AA42" t="str">
            <v>工</v>
          </cell>
          <cell r="AB42">
            <v>0.15</v>
          </cell>
          <cell r="AC42">
            <v>720</v>
          </cell>
          <cell r="AD42">
            <v>108</v>
          </cell>
          <cell r="AF42" t="str">
            <v xml:space="preserve"> 普 通 工</v>
          </cell>
          <cell r="AG42">
            <v>0</v>
          </cell>
          <cell r="AH42" t="str">
            <v>工</v>
          </cell>
          <cell r="AI42">
            <v>0.8</v>
          </cell>
          <cell r="AJ42">
            <v>530</v>
          </cell>
          <cell r="AK42">
            <v>424</v>
          </cell>
          <cell r="AM42" t="str">
            <v xml:space="preserve"> 工具搬運及損耗</v>
          </cell>
          <cell r="AN42" t="str">
            <v>約工資部份3%</v>
          </cell>
          <cell r="AO42" t="str">
            <v>式</v>
          </cell>
          <cell r="AP42">
            <v>1</v>
          </cell>
        </row>
        <row r="43">
          <cell r="A43" t="str">
            <v>a97</v>
          </cell>
          <cell r="B43" t="str">
            <v xml:space="preserve"> 粘  層</v>
          </cell>
          <cell r="C43" t="str">
            <v>100</v>
          </cell>
          <cell r="D43" t="str">
            <v xml:space="preserve"> 乳化瀝青</v>
          </cell>
          <cell r="E43" t="str">
            <v>RS-1</v>
          </cell>
          <cell r="F43" t="str">
            <v>公斤</v>
          </cell>
          <cell r="G43">
            <v>45</v>
          </cell>
          <cell r="H43">
            <v>1600</v>
          </cell>
          <cell r="K43" t="str">
            <v xml:space="preserve"> 燃  料</v>
          </cell>
          <cell r="L43" t="str">
            <v>木柴</v>
          </cell>
          <cell r="M43" t="str">
            <v>kg</v>
          </cell>
          <cell r="N43">
            <v>5</v>
          </cell>
          <cell r="O43">
            <v>15</v>
          </cell>
          <cell r="R43" t="str">
            <v xml:space="preserve"> 一般技工</v>
          </cell>
          <cell r="S43">
            <v>0</v>
          </cell>
          <cell r="T43" t="str">
            <v>工</v>
          </cell>
          <cell r="U43">
            <v>0.1</v>
          </cell>
          <cell r="V43">
            <v>720</v>
          </cell>
          <cell r="W43">
            <v>72</v>
          </cell>
          <cell r="Y43" t="str">
            <v xml:space="preserve"> 普 通 工</v>
          </cell>
          <cell r="Z43">
            <v>0</v>
          </cell>
          <cell r="AA43" t="str">
            <v>工</v>
          </cell>
          <cell r="AB43">
            <v>0.4</v>
          </cell>
          <cell r="AC43">
            <v>530</v>
          </cell>
          <cell r="AD43">
            <v>212</v>
          </cell>
          <cell r="AF43" t="str">
            <v xml:space="preserve"> 工具搬運及損耗</v>
          </cell>
          <cell r="AG43" t="str">
            <v>約工資部份3%</v>
          </cell>
          <cell r="AH43" t="str">
            <v>式</v>
          </cell>
          <cell r="AI43">
            <v>1</v>
          </cell>
        </row>
        <row r="44">
          <cell r="A44" t="str">
            <v>a98</v>
          </cell>
          <cell r="B44" t="str">
            <v xml:space="preserve"> 熱拌塑膠反光標線</v>
          </cell>
          <cell r="C44" t="str">
            <v></v>
          </cell>
          <cell r="D44" t="str">
            <v xml:space="preserve"> 標線漆(厚0.2cm)</v>
          </cell>
          <cell r="E44" t="str">
            <v>1950kg/</v>
          </cell>
          <cell r="F44" t="str">
            <v>公斤</v>
          </cell>
          <cell r="G44">
            <v>4.29</v>
          </cell>
          <cell r="H44">
            <v>35</v>
          </cell>
          <cell r="K44" t="str">
            <v xml:space="preserve"> 反光玻璃珠</v>
          </cell>
          <cell r="M44" t="str">
            <v>公斤</v>
          </cell>
          <cell r="N44">
            <v>1.29</v>
          </cell>
          <cell r="O44">
            <v>30</v>
          </cell>
          <cell r="R44" t="str">
            <v xml:space="preserve"> 黏 著 劑</v>
          </cell>
          <cell r="T44" t="str">
            <v>公斤</v>
          </cell>
          <cell r="U44">
            <v>0.14000000000000001</v>
          </cell>
          <cell r="V44">
            <v>25</v>
          </cell>
          <cell r="Y44" t="str">
            <v xml:space="preserve"> 一般技工</v>
          </cell>
          <cell r="Z44">
            <v>0</v>
          </cell>
          <cell r="AA44" t="str">
            <v>工</v>
          </cell>
          <cell r="AB44">
            <v>0.01</v>
          </cell>
          <cell r="AC44">
            <v>720</v>
          </cell>
          <cell r="AD44">
            <v>7.2</v>
          </cell>
          <cell r="AF44" t="str">
            <v xml:space="preserve"> 普 通 工</v>
          </cell>
          <cell r="AG44">
            <v>0</v>
          </cell>
          <cell r="AH44" t="str">
            <v>工</v>
          </cell>
          <cell r="AI44">
            <v>0.02</v>
          </cell>
          <cell r="AJ44">
            <v>530</v>
          </cell>
          <cell r="AK44">
            <v>10.6</v>
          </cell>
          <cell r="AM44" t="str">
            <v xml:space="preserve"> 機 具 費</v>
          </cell>
          <cell r="AN44" t="str">
            <v>與工資相同</v>
          </cell>
          <cell r="AO44" t="str">
            <v>式</v>
          </cell>
          <cell r="AP44">
            <v>1</v>
          </cell>
          <cell r="AQ44">
            <v>17.8</v>
          </cell>
          <cell r="AT44" t="str">
            <v xml:space="preserve"> 工具搬運及損耗</v>
          </cell>
          <cell r="AU44" t="str">
            <v>約工資部份3%</v>
          </cell>
          <cell r="AV44" t="str">
            <v>式</v>
          </cell>
          <cell r="AW44">
            <v>1</v>
          </cell>
        </row>
        <row r="45">
          <cell r="A45" t="str">
            <v>a113</v>
          </cell>
          <cell r="B45" t="str">
            <v xml:space="preserve"> 軟式盲溝管埋設</v>
          </cell>
          <cell r="C45" t="str">
            <v>10m</v>
          </cell>
          <cell r="D45" t="str">
            <v xml:space="preserve"> 軟式透水管</v>
          </cell>
          <cell r="E45" t="str">
            <v>φ10~20cm</v>
          </cell>
          <cell r="F45" t="str">
            <v>m</v>
          </cell>
          <cell r="G45">
            <v>10</v>
          </cell>
          <cell r="H45" t="str">
            <v>單價</v>
          </cell>
          <cell r="J45" t="str">
            <v>另計</v>
          </cell>
          <cell r="K45" t="str">
            <v xml:space="preserve"> 一般技工</v>
          </cell>
          <cell r="L45">
            <v>0</v>
          </cell>
          <cell r="M45" t="str">
            <v>工</v>
          </cell>
          <cell r="N45">
            <v>0.01</v>
          </cell>
          <cell r="O45">
            <v>720</v>
          </cell>
          <cell r="P45">
            <v>7.2</v>
          </cell>
          <cell r="R45" t="str">
            <v xml:space="preserve"> 普 通 工</v>
          </cell>
          <cell r="S45">
            <v>0</v>
          </cell>
          <cell r="T45" t="str">
            <v>工</v>
          </cell>
          <cell r="U45">
            <v>0.1</v>
          </cell>
          <cell r="V45">
            <v>530</v>
          </cell>
          <cell r="W45">
            <v>53</v>
          </cell>
          <cell r="Y45" t="str">
            <v xml:space="preserve"> 工具搬運及損耗</v>
          </cell>
          <cell r="Z45" t="str">
            <v>約工資部份3%</v>
          </cell>
          <cell r="AA45" t="str">
            <v>式</v>
          </cell>
          <cell r="AB45">
            <v>1</v>
          </cell>
        </row>
        <row r="46">
          <cell r="A46" t="str">
            <v>a122</v>
          </cell>
          <cell r="B46" t="str">
            <v xml:space="preserve"> 打 木 樁</v>
          </cell>
          <cell r="C46" t="str">
            <v>支</v>
          </cell>
          <cell r="D46" t="str">
            <v xml:space="preserve"> 普 通 工</v>
          </cell>
          <cell r="E46">
            <v>0</v>
          </cell>
          <cell r="F46" t="str">
            <v>工</v>
          </cell>
          <cell r="G46">
            <v>0.1</v>
          </cell>
          <cell r="H46">
            <v>530</v>
          </cell>
          <cell r="I46">
            <v>53</v>
          </cell>
          <cell r="K46" t="str">
            <v xml:space="preserve"> 機 具 費</v>
          </cell>
          <cell r="L46" t="str">
            <v/>
          </cell>
          <cell r="M46" t="str">
            <v>式</v>
          </cell>
          <cell r="N46">
            <v>1</v>
          </cell>
          <cell r="R46" t="str">
            <v xml:space="preserve"> 工具搬運及損耗</v>
          </cell>
          <cell r="S46" t="str">
            <v>約工資部份3%</v>
          </cell>
          <cell r="T46" t="str">
            <v>式</v>
          </cell>
          <cell r="U46">
            <v>1</v>
          </cell>
        </row>
        <row r="47">
          <cell r="A47" t="str">
            <v>a123</v>
          </cell>
          <cell r="B47" t="str">
            <v xml:space="preserve"> 打20cmφPC基樁</v>
          </cell>
          <cell r="C47" t="str">
            <v>支</v>
          </cell>
          <cell r="D47" t="str">
            <v xml:space="preserve"> 一般技工</v>
          </cell>
          <cell r="E47">
            <v>0</v>
          </cell>
          <cell r="F47" t="str">
            <v>工</v>
          </cell>
          <cell r="G47">
            <v>0.15</v>
          </cell>
          <cell r="H47">
            <v>720</v>
          </cell>
          <cell r="I47">
            <v>108</v>
          </cell>
          <cell r="K47" t="str">
            <v xml:space="preserve"> 普 通 工</v>
          </cell>
          <cell r="L47">
            <v>0</v>
          </cell>
          <cell r="M47" t="str">
            <v>工</v>
          </cell>
          <cell r="N47">
            <v>0.08</v>
          </cell>
          <cell r="O47">
            <v>530</v>
          </cell>
          <cell r="P47">
            <v>42.4</v>
          </cell>
          <cell r="R47" t="str">
            <v xml:space="preserve"> 機 具 費</v>
          </cell>
          <cell r="S47" t="str">
            <v>約工資部份15%</v>
          </cell>
          <cell r="T47" t="str">
            <v>式</v>
          </cell>
          <cell r="U47">
            <v>1</v>
          </cell>
        </row>
        <row r="48">
          <cell r="A48" t="str">
            <v>a127</v>
          </cell>
          <cell r="B48" t="str">
            <v xml:space="preserve"> 打40cm口鋼筋混凝土基樁</v>
          </cell>
          <cell r="C48" t="str">
            <v>支</v>
          </cell>
          <cell r="D48" t="str">
            <v xml:space="preserve"> 一般技工</v>
          </cell>
          <cell r="E48">
            <v>0</v>
          </cell>
          <cell r="F48" t="str">
            <v>工</v>
          </cell>
          <cell r="G48">
            <v>0.35</v>
          </cell>
          <cell r="H48">
            <v>720</v>
          </cell>
          <cell r="I48">
            <v>251.99999999999997</v>
          </cell>
          <cell r="K48" t="str">
            <v xml:space="preserve"> 普 通 工</v>
          </cell>
          <cell r="L48">
            <v>0</v>
          </cell>
          <cell r="M48" t="str">
            <v>工</v>
          </cell>
          <cell r="N48">
            <v>0.3</v>
          </cell>
          <cell r="O48">
            <v>530</v>
          </cell>
          <cell r="P48">
            <v>159</v>
          </cell>
          <cell r="R48" t="str">
            <v xml:space="preserve"> 機 具 費</v>
          </cell>
          <cell r="S48" t="str">
            <v>約工資部份80%</v>
          </cell>
          <cell r="T48" t="str">
            <v>式</v>
          </cell>
          <cell r="U48">
            <v>1</v>
          </cell>
        </row>
        <row r="49">
          <cell r="A49" t="str">
            <v>a137</v>
          </cell>
          <cell r="B49" t="str">
            <v xml:space="preserve"> 0.6mφ反循環鑽掘樁</v>
          </cell>
          <cell r="C49" t="str">
            <v>30m</v>
          </cell>
          <cell r="D49" t="str">
            <v xml:space="preserve"> 一般技工</v>
          </cell>
          <cell r="E49">
            <v>0</v>
          </cell>
          <cell r="F49" t="str">
            <v>工</v>
          </cell>
          <cell r="G49">
            <v>12</v>
          </cell>
          <cell r="H49">
            <v>720</v>
          </cell>
          <cell r="I49">
            <v>8640</v>
          </cell>
          <cell r="K49" t="str">
            <v xml:space="preserve"> 普 通 工</v>
          </cell>
          <cell r="L49">
            <v>0</v>
          </cell>
          <cell r="M49" t="str">
            <v>工</v>
          </cell>
          <cell r="N49">
            <v>18</v>
          </cell>
          <cell r="O49">
            <v>530</v>
          </cell>
          <cell r="P49">
            <v>9540</v>
          </cell>
          <cell r="R49" t="str">
            <v xml:space="preserve"> 鑽 掘 費</v>
          </cell>
          <cell r="S49" t="str">
            <v>約工資部份80%</v>
          </cell>
          <cell r="T49" t="str">
            <v>式</v>
          </cell>
          <cell r="U49">
            <v>1</v>
          </cell>
          <cell r="V49">
            <v>14544</v>
          </cell>
          <cell r="Y49" t="str">
            <v xml:space="preserve"> 210kg/c㎡水中混凝土</v>
          </cell>
          <cell r="AA49" t="str">
            <v></v>
          </cell>
          <cell r="AB49">
            <v>9.8000000000000007</v>
          </cell>
          <cell r="AE49" t="str">
            <v>另計</v>
          </cell>
          <cell r="AF49" t="str">
            <v xml:space="preserve"> 鋼筋彎紮焊接吊放</v>
          </cell>
          <cell r="AH49" t="str">
            <v>噸</v>
          </cell>
          <cell r="AM49" t="str">
            <v xml:space="preserve"> 零星器材及其他</v>
          </cell>
          <cell r="AN49" t="str">
            <v>約工資部份25%</v>
          </cell>
          <cell r="AO49" t="str">
            <v>式</v>
          </cell>
          <cell r="AP49">
            <v>1</v>
          </cell>
        </row>
        <row r="50">
          <cell r="A50" t="str">
            <v>a145</v>
          </cell>
          <cell r="B50" t="str">
            <v xml:space="preserve"> 609.6mmφ鋼管基樁</v>
          </cell>
          <cell r="C50" t="str">
            <v>30m</v>
          </cell>
          <cell r="D50" t="str">
            <v xml:space="preserve"> 一般技工</v>
          </cell>
          <cell r="E50">
            <v>0</v>
          </cell>
          <cell r="F50" t="str">
            <v>工</v>
          </cell>
          <cell r="G50">
            <v>4.5</v>
          </cell>
          <cell r="H50">
            <v>720</v>
          </cell>
          <cell r="I50">
            <v>3240</v>
          </cell>
          <cell r="K50" t="str">
            <v xml:space="preserve"> 普 通 工</v>
          </cell>
          <cell r="L50">
            <v>0</v>
          </cell>
          <cell r="M50" t="str">
            <v>工</v>
          </cell>
          <cell r="N50">
            <v>2.5</v>
          </cell>
          <cell r="O50">
            <v>530</v>
          </cell>
          <cell r="P50">
            <v>1325</v>
          </cell>
          <cell r="R50" t="str">
            <v xml:space="preserve"> 打樁機具費</v>
          </cell>
          <cell r="T50" t="str">
            <v>時</v>
          </cell>
          <cell r="U50">
            <v>4</v>
          </cell>
          <cell r="V50">
            <v>1000</v>
          </cell>
          <cell r="X50" t="str">
            <v>錘重4.5T</v>
          </cell>
          <cell r="Y50" t="str">
            <v xml:space="preserve"> 609.6mmφ鋼管樁</v>
          </cell>
          <cell r="AA50" t="str">
            <v>m</v>
          </cell>
          <cell r="AB50">
            <v>30</v>
          </cell>
          <cell r="AE50" t="str">
            <v>另計</v>
          </cell>
          <cell r="AF50" t="str">
            <v xml:space="preserve"> 零星工料費</v>
          </cell>
          <cell r="AG50" t="str">
            <v>約工資部份30%</v>
          </cell>
          <cell r="AH50" t="str">
            <v>式</v>
          </cell>
          <cell r="AI50">
            <v>1</v>
          </cell>
        </row>
        <row r="51">
          <cell r="A51" t="str">
            <v>a148</v>
          </cell>
          <cell r="B51" t="str">
            <v xml:space="preserve"> 打拔鋼鈑樁</v>
          </cell>
          <cell r="C51" t="str">
            <v>片</v>
          </cell>
          <cell r="D51" t="str">
            <v xml:space="preserve"> 一般技工</v>
          </cell>
          <cell r="E51">
            <v>0</v>
          </cell>
          <cell r="F51" t="str">
            <v>工</v>
          </cell>
          <cell r="G51">
            <v>0.05</v>
          </cell>
          <cell r="H51">
            <v>720</v>
          </cell>
          <cell r="I51">
            <v>36</v>
          </cell>
          <cell r="K51" t="str">
            <v xml:space="preserve"> 普 通 工</v>
          </cell>
          <cell r="L51">
            <v>0</v>
          </cell>
          <cell r="M51" t="str">
            <v>工</v>
          </cell>
          <cell r="N51">
            <v>0.3</v>
          </cell>
          <cell r="O51">
            <v>530</v>
          </cell>
          <cell r="P51">
            <v>159</v>
          </cell>
          <cell r="R51" t="str">
            <v xml:space="preserve"> 打拔機具費</v>
          </cell>
          <cell r="T51" t="str">
            <v>時</v>
          </cell>
          <cell r="U51">
            <v>0.4</v>
          </cell>
          <cell r="V51">
            <v>5000</v>
          </cell>
          <cell r="W51">
            <v>2000</v>
          </cell>
          <cell r="Y51" t="str">
            <v xml:space="preserve">  鋼鈑樁租金</v>
          </cell>
          <cell r="Z51" t="str">
            <v>9mx0.4m</v>
          </cell>
          <cell r="AA51" t="str">
            <v>片</v>
          </cell>
          <cell r="AB51">
            <v>1</v>
          </cell>
          <cell r="AF51" t="str">
            <v xml:space="preserve"> 零星工料費</v>
          </cell>
          <cell r="AG51" t="str">
            <v>約租金10%</v>
          </cell>
          <cell r="AH51" t="str">
            <v>式</v>
          </cell>
          <cell r="AI51">
            <v>1</v>
          </cell>
          <cell r="AM51" t="str">
            <v xml:space="preserve"> 工具搬運及損耗</v>
          </cell>
          <cell r="AN51" t="str">
            <v>約工資部份3%</v>
          </cell>
          <cell r="AO51" t="str">
            <v>式</v>
          </cell>
          <cell r="AP51">
            <v>1</v>
          </cell>
        </row>
        <row r="52">
          <cell r="A52" t="str">
            <v>a153</v>
          </cell>
          <cell r="B52" t="str">
            <v xml:space="preserve"> 打拔鋼軌樁(37kg/m,長10m@0.6m)</v>
          </cell>
          <cell r="C52" t="str">
            <v>30m</v>
          </cell>
          <cell r="D52" t="str">
            <v xml:space="preserve"> 一般技工</v>
          </cell>
          <cell r="E52">
            <v>0</v>
          </cell>
          <cell r="F52" t="str">
            <v>工</v>
          </cell>
          <cell r="G52">
            <v>2.5</v>
          </cell>
          <cell r="H52">
            <v>720</v>
          </cell>
          <cell r="I52">
            <v>1800</v>
          </cell>
          <cell r="K52" t="str">
            <v xml:space="preserve"> 普 通 工</v>
          </cell>
          <cell r="L52">
            <v>0</v>
          </cell>
          <cell r="M52" t="str">
            <v>工</v>
          </cell>
          <cell r="N52">
            <v>1.2</v>
          </cell>
          <cell r="O52">
            <v>530</v>
          </cell>
          <cell r="P52">
            <v>636</v>
          </cell>
          <cell r="R52" t="str">
            <v xml:space="preserve"> 打拔機具費</v>
          </cell>
          <cell r="T52" t="str">
            <v>時</v>
          </cell>
          <cell r="U52">
            <v>10</v>
          </cell>
          <cell r="V52">
            <v>5000</v>
          </cell>
          <cell r="W52">
            <v>50000</v>
          </cell>
          <cell r="Y52" t="str">
            <v xml:space="preserve">  鋼軌租金</v>
          </cell>
          <cell r="Z52" t="str">
            <v>37kg/m,長10m</v>
          </cell>
          <cell r="AA52" t="str">
            <v>支</v>
          </cell>
          <cell r="AB52">
            <v>51</v>
          </cell>
          <cell r="AF52" t="str">
            <v xml:space="preserve"> 2cm厚擋土板</v>
          </cell>
          <cell r="AH52" t="str">
            <v>㎡</v>
          </cell>
          <cell r="AI52">
            <v>3</v>
          </cell>
          <cell r="AL52" t="str">
            <v>利用舊料</v>
          </cell>
          <cell r="AM52" t="str">
            <v xml:space="preserve"> 零星工料費</v>
          </cell>
          <cell r="AN52" t="str">
            <v>約鋼軌租金10%</v>
          </cell>
          <cell r="AO52" t="str">
            <v>式</v>
          </cell>
          <cell r="AP52">
            <v>1</v>
          </cell>
          <cell r="AT52" t="str">
            <v xml:space="preserve"> 工具搬運及損耗</v>
          </cell>
          <cell r="AU52" t="str">
            <v>約工資部份3%</v>
          </cell>
          <cell r="AV52" t="str">
            <v>式</v>
          </cell>
          <cell r="AW52">
            <v>1</v>
          </cell>
        </row>
        <row r="53">
          <cell r="A53" t="str">
            <v>a154</v>
          </cell>
          <cell r="B53" t="str">
            <v xml:space="preserve"> 打鋼軌樁</v>
          </cell>
          <cell r="C53" t="str">
            <v>支</v>
          </cell>
          <cell r="D53" t="str">
            <v xml:space="preserve"> 一般技工</v>
          </cell>
          <cell r="E53">
            <v>0</v>
          </cell>
          <cell r="F53" t="str">
            <v>工</v>
          </cell>
          <cell r="G53">
            <v>0.1</v>
          </cell>
          <cell r="H53">
            <v>720</v>
          </cell>
          <cell r="I53">
            <v>72</v>
          </cell>
          <cell r="K53" t="str">
            <v xml:space="preserve"> 普 通 工</v>
          </cell>
          <cell r="L53">
            <v>0</v>
          </cell>
          <cell r="M53" t="str">
            <v>工</v>
          </cell>
          <cell r="N53">
            <v>0.02</v>
          </cell>
          <cell r="O53">
            <v>530</v>
          </cell>
          <cell r="P53">
            <v>10.6</v>
          </cell>
          <cell r="R53" t="str">
            <v xml:space="preserve"> 鋼軌樁頭處理</v>
          </cell>
          <cell r="T53" t="str">
            <v>式</v>
          </cell>
          <cell r="U53">
            <v>1</v>
          </cell>
          <cell r="Y53" t="str">
            <v xml:space="preserve"> 機 具 費</v>
          </cell>
          <cell r="Z53" t="str">
            <v>含租金運費</v>
          </cell>
          <cell r="AA53" t="str">
            <v>式</v>
          </cell>
          <cell r="AB53">
            <v>1</v>
          </cell>
        </row>
        <row r="54">
          <cell r="A54" t="str">
            <v>a172</v>
          </cell>
          <cell r="B54" t="str">
            <v xml:space="preserve"> 砌  磚 (B)</v>
          </cell>
          <cell r="C54" t="str">
            <v></v>
          </cell>
          <cell r="D54" t="str">
            <v xml:space="preserve"> 紅  磚</v>
          </cell>
          <cell r="E54" t="str">
            <v>6x11x23cm</v>
          </cell>
          <cell r="F54" t="str">
            <v>塊</v>
          </cell>
          <cell r="G54">
            <v>70</v>
          </cell>
          <cell r="K54" t="str">
            <v xml:space="preserve"> 1:3水泥砂漿</v>
          </cell>
          <cell r="M54" t="str">
            <v></v>
          </cell>
          <cell r="N54">
            <v>2.5000000000000001E-2</v>
          </cell>
          <cell r="R54" t="str">
            <v xml:space="preserve"> 一般技工</v>
          </cell>
          <cell r="S54">
            <v>0</v>
          </cell>
          <cell r="T54" t="str">
            <v>工</v>
          </cell>
          <cell r="U54">
            <v>0.13</v>
          </cell>
          <cell r="V54">
            <v>720</v>
          </cell>
          <cell r="W54">
            <v>93.600000000000009</v>
          </cell>
          <cell r="Y54" t="str">
            <v xml:space="preserve"> 普 通 工</v>
          </cell>
          <cell r="Z54">
            <v>0</v>
          </cell>
          <cell r="AA54" t="str">
            <v>工</v>
          </cell>
          <cell r="AB54">
            <v>0.13</v>
          </cell>
          <cell r="AC54">
            <v>530</v>
          </cell>
          <cell r="AD54">
            <v>68.900000000000006</v>
          </cell>
          <cell r="AF54" t="str">
            <v xml:space="preserve"> 工具搬運及損耗</v>
          </cell>
          <cell r="AG54" t="str">
            <v>約工資部份2%</v>
          </cell>
          <cell r="AH54" t="str">
            <v>式</v>
          </cell>
          <cell r="AI54">
            <v>1</v>
          </cell>
        </row>
        <row r="55">
          <cell r="A55" t="str">
            <v>a175</v>
          </cell>
          <cell r="B55" t="str">
            <v xml:space="preserve"> 斬 石 子</v>
          </cell>
          <cell r="C55" t="str">
            <v></v>
          </cell>
          <cell r="D55" t="str">
            <v xml:space="preserve"> 水  泥</v>
          </cell>
          <cell r="E55" t="str">
            <v>白水泥</v>
          </cell>
          <cell r="F55" t="str">
            <v>包</v>
          </cell>
          <cell r="G55">
            <v>0.12</v>
          </cell>
          <cell r="J55" t="str">
            <v>另計</v>
          </cell>
          <cell r="K55" t="str">
            <v xml:space="preserve"> 1:3水泥砂漿</v>
          </cell>
          <cell r="M55" t="str">
            <v></v>
          </cell>
          <cell r="N55">
            <v>2.5000000000000001E-2</v>
          </cell>
          <cell r="R55" t="str">
            <v xml:space="preserve"> 小 石 粒</v>
          </cell>
          <cell r="T55" t="str">
            <v>kg</v>
          </cell>
          <cell r="U55">
            <v>11</v>
          </cell>
          <cell r="Y55" t="str">
            <v xml:space="preserve"> 石  粉</v>
          </cell>
          <cell r="AA55" t="str">
            <v>kg</v>
          </cell>
          <cell r="AB55">
            <v>1</v>
          </cell>
          <cell r="AF55" t="str">
            <v xml:space="preserve"> 一般技工</v>
          </cell>
          <cell r="AG55">
            <v>0</v>
          </cell>
          <cell r="AH55" t="str">
            <v>工</v>
          </cell>
          <cell r="AI55">
            <v>0.74</v>
          </cell>
          <cell r="AJ55">
            <v>720</v>
          </cell>
          <cell r="AK55">
            <v>532.79999999999995</v>
          </cell>
          <cell r="AM55" t="str">
            <v xml:space="preserve"> 普 通 工</v>
          </cell>
          <cell r="AN55">
            <v>0</v>
          </cell>
          <cell r="AO55" t="str">
            <v>工</v>
          </cell>
          <cell r="AP55">
            <v>0.12</v>
          </cell>
          <cell r="AQ55">
            <v>530</v>
          </cell>
          <cell r="AR55">
            <v>63.599999999999994</v>
          </cell>
          <cell r="AT55" t="str">
            <v xml:space="preserve"> 工具搬運及損耗</v>
          </cell>
          <cell r="AU55" t="str">
            <v>約工資部份2%</v>
          </cell>
          <cell r="AV55" t="str">
            <v>式</v>
          </cell>
          <cell r="AW55">
            <v>1</v>
          </cell>
        </row>
        <row r="56">
          <cell r="A56" t="str">
            <v>a176</v>
          </cell>
          <cell r="B56" t="str">
            <v xml:space="preserve"> 洗 石 子</v>
          </cell>
          <cell r="C56" t="str">
            <v></v>
          </cell>
          <cell r="D56" t="str">
            <v xml:space="preserve"> 水泥(或白水泥)</v>
          </cell>
          <cell r="E56" t="str">
            <v/>
          </cell>
          <cell r="F56" t="str">
            <v>包</v>
          </cell>
          <cell r="G56">
            <v>0.12</v>
          </cell>
          <cell r="J56" t="str">
            <v>另計</v>
          </cell>
          <cell r="K56" t="str">
            <v xml:space="preserve"> 1:3水泥砂漿</v>
          </cell>
          <cell r="M56" t="str">
            <v></v>
          </cell>
          <cell r="N56">
            <v>1.7999999999999999E-2</v>
          </cell>
          <cell r="R56" t="str">
            <v xml:space="preserve"> 石  粒</v>
          </cell>
          <cell r="T56" t="str">
            <v>kg</v>
          </cell>
          <cell r="U56">
            <v>11</v>
          </cell>
          <cell r="Y56" t="str">
            <v xml:space="preserve"> 石  粉</v>
          </cell>
          <cell r="AA56" t="str">
            <v>kg</v>
          </cell>
          <cell r="AB56">
            <v>0.09</v>
          </cell>
          <cell r="AF56" t="str">
            <v xml:space="preserve"> 一般技工</v>
          </cell>
          <cell r="AG56">
            <v>0</v>
          </cell>
          <cell r="AH56" t="str">
            <v>工</v>
          </cell>
          <cell r="AI56">
            <v>0.26</v>
          </cell>
          <cell r="AJ56">
            <v>720</v>
          </cell>
          <cell r="AK56">
            <v>187.20000000000002</v>
          </cell>
          <cell r="AM56" t="str">
            <v xml:space="preserve"> 普 通 工</v>
          </cell>
          <cell r="AN56">
            <v>0</v>
          </cell>
          <cell r="AO56" t="str">
            <v>工</v>
          </cell>
          <cell r="AP56">
            <v>0.2</v>
          </cell>
          <cell r="AQ56">
            <v>530</v>
          </cell>
          <cell r="AR56">
            <v>106</v>
          </cell>
          <cell r="AT56" t="str">
            <v xml:space="preserve"> 工具搬運及損耗</v>
          </cell>
          <cell r="AU56" t="str">
            <v>約工資部份1%</v>
          </cell>
          <cell r="AV56" t="str">
            <v>式</v>
          </cell>
          <cell r="AW56">
            <v>1</v>
          </cell>
        </row>
        <row r="57">
          <cell r="A57" t="str">
            <v>a177</v>
          </cell>
          <cell r="B57" t="str">
            <v xml:space="preserve"> 磨 石 子</v>
          </cell>
          <cell r="C57" t="str">
            <v></v>
          </cell>
          <cell r="D57" t="str">
            <v xml:space="preserve"> 水  泥</v>
          </cell>
          <cell r="E57" t="str">
            <v/>
          </cell>
          <cell r="F57" t="str">
            <v>包</v>
          </cell>
          <cell r="G57">
            <v>0.14000000000000001</v>
          </cell>
          <cell r="J57" t="str">
            <v>另計</v>
          </cell>
          <cell r="K57" t="str">
            <v xml:space="preserve"> 1:3水泥砂漿</v>
          </cell>
          <cell r="M57" t="str">
            <v></v>
          </cell>
          <cell r="N57">
            <v>1.7999999999999999E-2</v>
          </cell>
          <cell r="R57" t="str">
            <v xml:space="preserve"> 小 石 子</v>
          </cell>
          <cell r="T57" t="str">
            <v>kg</v>
          </cell>
          <cell r="U57">
            <v>11</v>
          </cell>
          <cell r="Y57" t="str">
            <v xml:space="preserve"> 色  粉</v>
          </cell>
          <cell r="AA57" t="str">
            <v>kg</v>
          </cell>
          <cell r="AB57">
            <v>0.15</v>
          </cell>
          <cell r="AF57" t="str">
            <v xml:space="preserve"> 一般技工</v>
          </cell>
          <cell r="AG57">
            <v>0</v>
          </cell>
          <cell r="AH57" t="str">
            <v>工</v>
          </cell>
          <cell r="AI57">
            <v>0.6</v>
          </cell>
          <cell r="AJ57">
            <v>720</v>
          </cell>
          <cell r="AK57">
            <v>432</v>
          </cell>
          <cell r="AM57" t="str">
            <v xml:space="preserve"> 普 通 工</v>
          </cell>
          <cell r="AN57">
            <v>0</v>
          </cell>
          <cell r="AO57" t="str">
            <v>工</v>
          </cell>
          <cell r="AP57">
            <v>0.12</v>
          </cell>
          <cell r="AQ57">
            <v>530</v>
          </cell>
          <cell r="AR57">
            <v>63.599999999999994</v>
          </cell>
          <cell r="AT57" t="str">
            <v xml:space="preserve"> 打  蠟</v>
          </cell>
          <cell r="AV57" t="str">
            <v></v>
          </cell>
          <cell r="AW57">
            <v>1</v>
          </cell>
          <cell r="BA57" t="str">
            <v xml:space="preserve"> 工具搬運及損耗</v>
          </cell>
          <cell r="BB57" t="str">
            <v>約工資部份2%</v>
          </cell>
          <cell r="BC57" t="str">
            <v>式</v>
          </cell>
          <cell r="BD57">
            <v>1</v>
          </cell>
        </row>
        <row r="58">
          <cell r="A58" t="str">
            <v>a178</v>
          </cell>
          <cell r="B58" t="str">
            <v xml:space="preserve"> 貼馬賽克</v>
          </cell>
          <cell r="C58" t="str">
            <v></v>
          </cell>
          <cell r="D58" t="str">
            <v xml:space="preserve"> 1:3水泥砂漿</v>
          </cell>
          <cell r="F58" t="str">
            <v></v>
          </cell>
          <cell r="G58">
            <v>2.5000000000000001E-2</v>
          </cell>
          <cell r="K58" t="str">
            <v xml:space="preserve"> 馬 賽 克</v>
          </cell>
          <cell r="M58" t="str">
            <v>才</v>
          </cell>
          <cell r="N58">
            <v>11</v>
          </cell>
          <cell r="R58" t="str">
            <v xml:space="preserve"> 一般技工</v>
          </cell>
          <cell r="S58">
            <v>0</v>
          </cell>
          <cell r="T58" t="str">
            <v>工</v>
          </cell>
          <cell r="U58">
            <v>0.33</v>
          </cell>
          <cell r="V58">
            <v>720</v>
          </cell>
          <cell r="W58">
            <v>237.60000000000002</v>
          </cell>
          <cell r="Y58" t="str">
            <v xml:space="preserve"> 普 通 工</v>
          </cell>
          <cell r="Z58">
            <v>0</v>
          </cell>
          <cell r="AA58" t="str">
            <v>工</v>
          </cell>
          <cell r="AB58">
            <v>0.18</v>
          </cell>
          <cell r="AC58">
            <v>530</v>
          </cell>
          <cell r="AD58">
            <v>95.399999999999991</v>
          </cell>
          <cell r="AF58" t="str">
            <v xml:space="preserve"> 勾縫水泥</v>
          </cell>
          <cell r="AH58" t="str">
            <v>kg</v>
          </cell>
          <cell r="AI58">
            <v>0.6</v>
          </cell>
          <cell r="AM58" t="str">
            <v xml:space="preserve"> 工具搬運及損耗</v>
          </cell>
          <cell r="AN58" t="str">
            <v>約工資部份2%</v>
          </cell>
          <cell r="AO58" t="str">
            <v>式</v>
          </cell>
          <cell r="AP58">
            <v>1</v>
          </cell>
        </row>
        <row r="59">
          <cell r="A59" t="str">
            <v>a179</v>
          </cell>
          <cell r="B59" t="str">
            <v xml:space="preserve"> 貼 磁 磚</v>
          </cell>
          <cell r="C59" t="str">
            <v></v>
          </cell>
          <cell r="D59" t="str">
            <v xml:space="preserve"> 1:3水泥砂漿</v>
          </cell>
          <cell r="F59" t="str">
            <v></v>
          </cell>
          <cell r="G59">
            <v>2.5000000000000001E-2</v>
          </cell>
          <cell r="K59" t="str">
            <v xml:space="preserve"> 磁  磚</v>
          </cell>
          <cell r="M59" t="str">
            <v></v>
          </cell>
          <cell r="N59">
            <v>1</v>
          </cell>
          <cell r="R59" t="str">
            <v xml:space="preserve"> 一般技工</v>
          </cell>
          <cell r="S59">
            <v>0</v>
          </cell>
          <cell r="T59" t="str">
            <v>工</v>
          </cell>
          <cell r="U59">
            <v>0.28999999999999998</v>
          </cell>
          <cell r="V59">
            <v>720</v>
          </cell>
          <cell r="W59">
            <v>208.79999999999998</v>
          </cell>
          <cell r="Y59" t="str">
            <v xml:space="preserve"> 普 通 工</v>
          </cell>
          <cell r="Z59">
            <v>0</v>
          </cell>
          <cell r="AA59" t="str">
            <v>工</v>
          </cell>
          <cell r="AB59">
            <v>0.16</v>
          </cell>
          <cell r="AC59">
            <v>530</v>
          </cell>
          <cell r="AD59">
            <v>84.8</v>
          </cell>
          <cell r="AF59" t="str">
            <v xml:space="preserve"> 勾縫水泥</v>
          </cell>
          <cell r="AH59" t="str">
            <v>kg</v>
          </cell>
          <cell r="AI59">
            <v>0.3</v>
          </cell>
          <cell r="AM59" t="str">
            <v xml:space="preserve"> 工具搬運及損耗</v>
          </cell>
          <cell r="AN59" t="str">
            <v>約工資部份1%</v>
          </cell>
          <cell r="AO59" t="str">
            <v>式</v>
          </cell>
          <cell r="AP59">
            <v>1</v>
          </cell>
        </row>
        <row r="60">
          <cell r="A60" t="str">
            <v>a180</v>
          </cell>
          <cell r="B60" t="str">
            <v xml:space="preserve"> 貼 石 片</v>
          </cell>
          <cell r="C60" t="str">
            <v></v>
          </cell>
          <cell r="D60" t="str">
            <v xml:space="preserve"> 1:3水泥砂漿</v>
          </cell>
          <cell r="F60" t="str">
            <v></v>
          </cell>
          <cell r="G60">
            <v>2.5000000000000001E-2</v>
          </cell>
          <cell r="K60" t="str">
            <v xml:space="preserve"> 石  片</v>
          </cell>
          <cell r="M60" t="str">
            <v></v>
          </cell>
          <cell r="N60">
            <v>1</v>
          </cell>
          <cell r="R60" t="str">
            <v xml:space="preserve"> 一般技工</v>
          </cell>
          <cell r="S60">
            <v>0</v>
          </cell>
          <cell r="T60" t="str">
            <v>工</v>
          </cell>
          <cell r="U60">
            <v>0.25</v>
          </cell>
          <cell r="V60">
            <v>720</v>
          </cell>
          <cell r="W60">
            <v>180</v>
          </cell>
          <cell r="Y60" t="str">
            <v xml:space="preserve"> 普 通 工</v>
          </cell>
          <cell r="Z60">
            <v>0</v>
          </cell>
          <cell r="AA60" t="str">
            <v>工</v>
          </cell>
          <cell r="AB60">
            <v>0.25</v>
          </cell>
          <cell r="AC60">
            <v>530</v>
          </cell>
          <cell r="AD60">
            <v>132.5</v>
          </cell>
          <cell r="AF60" t="str">
            <v xml:space="preserve"> 工具搬運及損耗</v>
          </cell>
          <cell r="AG60" t="str">
            <v>約工資部份2%</v>
          </cell>
          <cell r="AH60" t="str">
            <v>式</v>
          </cell>
          <cell r="AI60">
            <v>1</v>
          </cell>
        </row>
        <row r="61">
          <cell r="A61" t="str">
            <v>a181</v>
          </cell>
          <cell r="B61" t="str">
            <v xml:space="preserve"> 鋪高壓地磚</v>
          </cell>
          <cell r="C61" t="str">
            <v></v>
          </cell>
          <cell r="D61" t="str">
            <v xml:space="preserve"> 高壓地磚</v>
          </cell>
          <cell r="F61" t="str">
            <v></v>
          </cell>
          <cell r="G61">
            <v>1</v>
          </cell>
          <cell r="K61" t="str">
            <v xml:space="preserve"> 襯底細砂</v>
          </cell>
          <cell r="L61" t="str">
            <v>厚5cm</v>
          </cell>
          <cell r="M61" t="str">
            <v></v>
          </cell>
          <cell r="N61">
            <v>0.05</v>
          </cell>
          <cell r="R61" t="str">
            <v xml:space="preserve"> 一般技工</v>
          </cell>
          <cell r="S61">
            <v>0</v>
          </cell>
          <cell r="T61" t="str">
            <v>工</v>
          </cell>
          <cell r="U61">
            <v>0.12</v>
          </cell>
          <cell r="V61">
            <v>720</v>
          </cell>
          <cell r="W61">
            <v>86.399999999999991</v>
          </cell>
          <cell r="Y61" t="str">
            <v xml:space="preserve"> 普 通 工</v>
          </cell>
          <cell r="Z61">
            <v>0</v>
          </cell>
          <cell r="AA61" t="str">
            <v>工</v>
          </cell>
          <cell r="AB61">
            <v>0.14000000000000001</v>
          </cell>
          <cell r="AC61">
            <v>530</v>
          </cell>
          <cell r="AD61">
            <v>74.2</v>
          </cell>
          <cell r="AF61" t="str">
            <v xml:space="preserve"> 振動機夯實</v>
          </cell>
          <cell r="AG61" t="str">
            <v>約工資部份30%</v>
          </cell>
          <cell r="AH61" t="str">
            <v>式</v>
          </cell>
          <cell r="AI61">
            <v>1</v>
          </cell>
          <cell r="AM61" t="str">
            <v xml:space="preserve"> 工具搬運及損耗</v>
          </cell>
          <cell r="AN61" t="str">
            <v>約工資部份3%</v>
          </cell>
          <cell r="AO61" t="str">
            <v>式</v>
          </cell>
          <cell r="AP61">
            <v>1</v>
          </cell>
        </row>
        <row r="62">
          <cell r="A62" t="str">
            <v>a183</v>
          </cell>
          <cell r="B62" t="str">
            <v xml:space="preserve"> 水 泥 漆(一底二度)</v>
          </cell>
          <cell r="C62" t="str">
            <v></v>
          </cell>
          <cell r="D62" t="str">
            <v xml:space="preserve"> 水 泥 漆</v>
          </cell>
          <cell r="F62" t="str">
            <v>公升</v>
          </cell>
          <cell r="G62">
            <v>0.35</v>
          </cell>
          <cell r="K62" t="str">
            <v xml:space="preserve"> 一般技工</v>
          </cell>
          <cell r="L62">
            <v>0</v>
          </cell>
          <cell r="M62" t="str">
            <v>工</v>
          </cell>
          <cell r="N62">
            <v>0.06</v>
          </cell>
          <cell r="O62">
            <v>720</v>
          </cell>
          <cell r="P62">
            <v>43.199999999999996</v>
          </cell>
          <cell r="R62" t="str">
            <v xml:space="preserve"> 工具搬運及損耗</v>
          </cell>
          <cell r="S62" t="str">
            <v>約工資部份3%</v>
          </cell>
          <cell r="T62" t="str">
            <v>式</v>
          </cell>
          <cell r="U62">
            <v>1</v>
          </cell>
        </row>
        <row r="63">
          <cell r="A63" t="str">
            <v>a184</v>
          </cell>
          <cell r="B63" t="str">
            <v xml:space="preserve"> 鋼料油漆(一底二度)</v>
          </cell>
          <cell r="C63" t="str">
            <v></v>
          </cell>
          <cell r="D63" t="str">
            <v xml:space="preserve"> 底  漆(一度)</v>
          </cell>
          <cell r="E63" t="str">
            <v>紅丹</v>
          </cell>
          <cell r="F63" t="str">
            <v>公升</v>
          </cell>
          <cell r="G63">
            <v>0.17</v>
          </cell>
          <cell r="K63" t="str">
            <v xml:space="preserve"> 面  漆(二度)</v>
          </cell>
          <cell r="L63" t="str">
            <v/>
          </cell>
          <cell r="M63" t="str">
            <v>公升</v>
          </cell>
          <cell r="N63">
            <v>0.34</v>
          </cell>
          <cell r="R63" t="str">
            <v xml:space="preserve"> 一般技工</v>
          </cell>
          <cell r="S63" t="str">
            <v>含除鏽</v>
          </cell>
          <cell r="T63" t="str">
            <v>工</v>
          </cell>
          <cell r="U63">
            <v>0.2</v>
          </cell>
          <cell r="V63">
            <v>720</v>
          </cell>
          <cell r="W63">
            <v>144</v>
          </cell>
          <cell r="Y63" t="str">
            <v xml:space="preserve"> 工具搬運及損耗</v>
          </cell>
          <cell r="Z63" t="str">
            <v>約工資部份3%</v>
          </cell>
          <cell r="AA63" t="str">
            <v>式</v>
          </cell>
          <cell r="AB63">
            <v>1</v>
          </cell>
        </row>
        <row r="64">
          <cell r="A64" t="str">
            <v>a185</v>
          </cell>
          <cell r="B64" t="str">
            <v xml:space="preserve"> 甲式橡膠伸縮縫</v>
          </cell>
          <cell r="C64" t="str">
            <v>m</v>
          </cell>
          <cell r="D64" t="str">
            <v xml:space="preserve"> 一般技工</v>
          </cell>
          <cell r="E64">
            <v>0</v>
          </cell>
          <cell r="F64" t="str">
            <v>工</v>
          </cell>
          <cell r="G64">
            <v>1.2</v>
          </cell>
          <cell r="H64">
            <v>720</v>
          </cell>
          <cell r="I64">
            <v>864</v>
          </cell>
          <cell r="K64" t="str">
            <v xml:space="preserve"> 普 通 工</v>
          </cell>
          <cell r="L64">
            <v>0</v>
          </cell>
          <cell r="M64" t="str">
            <v>工</v>
          </cell>
          <cell r="N64">
            <v>1.2</v>
          </cell>
          <cell r="O64">
            <v>530</v>
          </cell>
          <cell r="P64">
            <v>636</v>
          </cell>
          <cell r="R64" t="str">
            <v xml:space="preserve"> 甲式橡膠伸縮縫</v>
          </cell>
          <cell r="T64" t="str">
            <v>m</v>
          </cell>
          <cell r="U64">
            <v>1</v>
          </cell>
          <cell r="Y64" t="str">
            <v xml:space="preserve"> 填縫材料</v>
          </cell>
          <cell r="AA64" t="str">
            <v>式</v>
          </cell>
          <cell r="AB64">
            <v>1</v>
          </cell>
          <cell r="AF64" t="str">
            <v xml:space="preserve"> 工具搬運及損耗</v>
          </cell>
          <cell r="AG64" t="str">
            <v>約工資部份3%</v>
          </cell>
          <cell r="AH64" t="str">
            <v>式</v>
          </cell>
          <cell r="AI64">
            <v>1</v>
          </cell>
        </row>
        <row r="65">
          <cell r="A65" t="str">
            <v>a188</v>
          </cell>
          <cell r="B65" t="str">
            <v xml:space="preserve"> 甲式齒型伸縮縫</v>
          </cell>
          <cell r="C65" t="str">
            <v>m</v>
          </cell>
          <cell r="D65" t="str">
            <v xml:space="preserve"> 一般技工</v>
          </cell>
          <cell r="E65">
            <v>0</v>
          </cell>
          <cell r="F65" t="str">
            <v>工</v>
          </cell>
          <cell r="G65">
            <v>2.5</v>
          </cell>
          <cell r="H65">
            <v>720</v>
          </cell>
          <cell r="I65">
            <v>1800</v>
          </cell>
          <cell r="K65" t="str">
            <v xml:space="preserve"> 普 通 工</v>
          </cell>
          <cell r="L65">
            <v>0</v>
          </cell>
          <cell r="M65" t="str">
            <v>工</v>
          </cell>
          <cell r="N65">
            <v>2.5</v>
          </cell>
          <cell r="O65">
            <v>530</v>
          </cell>
          <cell r="P65">
            <v>1325</v>
          </cell>
          <cell r="R65" t="str">
            <v xml:space="preserve"> 甲式齒型伸縮縫</v>
          </cell>
          <cell r="T65" t="str">
            <v>m</v>
          </cell>
          <cell r="U65">
            <v>1</v>
          </cell>
          <cell r="Y65" t="str">
            <v xml:space="preserve"> 零星工料費</v>
          </cell>
          <cell r="AA65" t="str">
            <v>式</v>
          </cell>
          <cell r="AB65">
            <v>1</v>
          </cell>
          <cell r="AF65" t="str">
            <v>350kg/c㎡混凝土</v>
          </cell>
          <cell r="AH65" t="str">
            <v></v>
          </cell>
          <cell r="AI65">
            <v>0.13</v>
          </cell>
          <cell r="AL65" t="str">
            <v>約伸縮縫料價10%</v>
          </cell>
          <cell r="AM65" t="str">
            <v xml:space="preserve"> 工具搬運及損耗</v>
          </cell>
          <cell r="AN65" t="str">
            <v>約工資部份3%</v>
          </cell>
          <cell r="AO65" t="str">
            <v>式</v>
          </cell>
          <cell r="AP65">
            <v>1</v>
          </cell>
        </row>
        <row r="66">
          <cell r="A66" t="str">
            <v>a191</v>
          </cell>
          <cell r="B66" t="str">
            <v xml:space="preserve"> 單排工作架</v>
          </cell>
          <cell r="C66" t="str">
            <v></v>
          </cell>
          <cell r="D66" t="str">
            <v xml:space="preserve"> 孟宗竹損耗</v>
          </cell>
          <cell r="F66" t="str">
            <v>m</v>
          </cell>
          <cell r="G66">
            <v>0.25</v>
          </cell>
          <cell r="K66" t="str">
            <v xml:space="preserve"> 木料損耗</v>
          </cell>
          <cell r="M66" t="str">
            <v>才</v>
          </cell>
          <cell r="N66">
            <v>0.3</v>
          </cell>
          <cell r="R66" t="str">
            <v xml:space="preserve"> #12鍍鋅鐵絲</v>
          </cell>
          <cell r="T66" t="str">
            <v>kg</v>
          </cell>
          <cell r="U66">
            <v>1.1000000000000001</v>
          </cell>
          <cell r="Y66" t="str">
            <v xml:space="preserve"> 一般技工</v>
          </cell>
          <cell r="Z66">
            <v>0</v>
          </cell>
          <cell r="AA66" t="str">
            <v>工</v>
          </cell>
          <cell r="AB66">
            <v>0.02</v>
          </cell>
          <cell r="AC66">
            <v>720</v>
          </cell>
          <cell r="AD66">
            <v>14.4</v>
          </cell>
          <cell r="AF66" t="str">
            <v xml:space="preserve"> 工具搬運及損耗</v>
          </cell>
          <cell r="AG66" t="str">
            <v>約工資部份3%</v>
          </cell>
          <cell r="AH66" t="str">
            <v>式</v>
          </cell>
          <cell r="AI66">
            <v>1</v>
          </cell>
        </row>
        <row r="67">
          <cell r="A67" t="str">
            <v>a194</v>
          </cell>
          <cell r="B67" t="str">
            <v xml:space="preserve"> 乙種鐵絲蛇籠</v>
          </cell>
          <cell r="C67" t="str">
            <v>m</v>
          </cell>
          <cell r="D67" t="str">
            <v xml:space="preserve"> 特種技工</v>
          </cell>
          <cell r="E67">
            <v>0</v>
          </cell>
          <cell r="F67" t="str">
            <v>工</v>
          </cell>
          <cell r="G67">
            <v>0.09</v>
          </cell>
          <cell r="H67">
            <v>800</v>
          </cell>
          <cell r="I67">
            <v>72</v>
          </cell>
          <cell r="K67" t="str">
            <v xml:space="preserve"> 半 技 工</v>
          </cell>
          <cell r="M67" t="str">
            <v>工</v>
          </cell>
          <cell r="N67">
            <v>0.05</v>
          </cell>
          <cell r="O67">
            <v>560</v>
          </cell>
          <cell r="R67" t="str">
            <v xml:space="preserve"> 普 通 工</v>
          </cell>
          <cell r="S67">
            <v>0</v>
          </cell>
          <cell r="T67" t="str">
            <v>工</v>
          </cell>
          <cell r="U67">
            <v>0.1</v>
          </cell>
          <cell r="V67">
            <v>530</v>
          </cell>
          <cell r="W67">
            <v>53</v>
          </cell>
          <cell r="Y67" t="str">
            <v xml:space="preserve"> 塊  石</v>
          </cell>
          <cell r="Z67" t="str">
            <v>φ25~30cm</v>
          </cell>
          <cell r="AA67" t="str">
            <v></v>
          </cell>
          <cell r="AB67">
            <v>0.23</v>
          </cell>
          <cell r="AF67" t="str">
            <v xml:space="preserve"> 工具搬運及損耗</v>
          </cell>
          <cell r="AG67" t="str">
            <v>約工資部份3%</v>
          </cell>
          <cell r="AH67" t="str">
            <v>式</v>
          </cell>
          <cell r="AI67">
            <v>1</v>
          </cell>
        </row>
        <row r="68">
          <cell r="A68" t="str">
            <v>a199</v>
          </cell>
          <cell r="B68" t="str">
            <v xml:space="preserve"> 箱型網籠內填塊石</v>
          </cell>
          <cell r="C68" t="str">
            <v></v>
          </cell>
          <cell r="D68" t="str">
            <v xml:space="preserve"> 塊  石</v>
          </cell>
          <cell r="E68" t="str">
            <v>φ25~30cm</v>
          </cell>
          <cell r="F68" t="str">
            <v></v>
          </cell>
          <cell r="G68">
            <v>1</v>
          </cell>
          <cell r="K68" t="str">
            <v xml:space="preserve"> 普 通 工</v>
          </cell>
          <cell r="L68">
            <v>0</v>
          </cell>
          <cell r="M68" t="str">
            <v>工</v>
          </cell>
          <cell r="N68">
            <v>0.3</v>
          </cell>
          <cell r="O68">
            <v>530</v>
          </cell>
          <cell r="P68">
            <v>159</v>
          </cell>
          <cell r="R68" t="str">
            <v xml:space="preserve"> 工具搬運及損耗</v>
          </cell>
          <cell r="S68" t="str">
            <v>約工資部份3%</v>
          </cell>
          <cell r="T68" t="str">
            <v>式</v>
          </cell>
          <cell r="U68">
            <v>1</v>
          </cell>
        </row>
        <row r="69">
          <cell r="A69" t="str">
            <v>a200</v>
          </cell>
          <cell r="B69" t="str">
            <v xml:space="preserve"> 坡面整理</v>
          </cell>
          <cell r="C69" t="str">
            <v>100</v>
          </cell>
          <cell r="D69" t="str">
            <v xml:space="preserve"> 普 通 工</v>
          </cell>
          <cell r="E69">
            <v>0</v>
          </cell>
          <cell r="F69" t="str">
            <v>工</v>
          </cell>
          <cell r="G69">
            <v>1.5</v>
          </cell>
          <cell r="H69">
            <v>530</v>
          </cell>
          <cell r="I69">
            <v>795</v>
          </cell>
          <cell r="K69" t="str">
            <v xml:space="preserve"> 工具搬運及損耗</v>
          </cell>
          <cell r="L69" t="str">
            <v>約工資部份3%</v>
          </cell>
          <cell r="M69" t="str">
            <v>式</v>
          </cell>
          <cell r="N69">
            <v>1</v>
          </cell>
        </row>
        <row r="70">
          <cell r="A70" t="str">
            <v>a203</v>
          </cell>
          <cell r="B70" t="str">
            <v xml:space="preserve"> 邊坡噴植</v>
          </cell>
          <cell r="C70" t="str">
            <v></v>
          </cell>
          <cell r="D70" t="str">
            <v xml:space="preserve"> 普 通 工</v>
          </cell>
          <cell r="E70" t="str">
            <v>整坡</v>
          </cell>
          <cell r="F70" t="str">
            <v>工</v>
          </cell>
          <cell r="G70">
            <v>0.02</v>
          </cell>
          <cell r="H70">
            <v>530</v>
          </cell>
          <cell r="I70">
            <v>10.6</v>
          </cell>
          <cell r="K70" t="str">
            <v xml:space="preserve"> 化學肥料</v>
          </cell>
          <cell r="L70" t="str">
            <v>台肥43號</v>
          </cell>
          <cell r="M70" t="str">
            <v>kg</v>
          </cell>
          <cell r="N70">
            <v>0.05</v>
          </cell>
          <cell r="Q70" t="str">
            <v>另計</v>
          </cell>
          <cell r="R70" t="str">
            <v xml:space="preserve"> 有機肥料</v>
          </cell>
          <cell r="S70" t="str">
            <v/>
          </cell>
          <cell r="T70" t="str">
            <v>kg</v>
          </cell>
          <cell r="U70">
            <v>2</v>
          </cell>
          <cell r="X70" t="str">
            <v>另計</v>
          </cell>
          <cell r="Y70" t="str">
            <v xml:space="preserve"> 普 通 工</v>
          </cell>
          <cell r="Z70" t="str">
            <v>施肥</v>
          </cell>
          <cell r="AA70" t="str">
            <v>工</v>
          </cell>
          <cell r="AB70">
            <v>1E-3</v>
          </cell>
          <cell r="AC70">
            <v>530</v>
          </cell>
          <cell r="AD70">
            <v>0.53</v>
          </cell>
          <cell r="AF70" t="str">
            <v xml:space="preserve"> 黏著劑及水</v>
          </cell>
          <cell r="AH70" t="str">
            <v>式</v>
          </cell>
          <cell r="AI70">
            <v>1</v>
          </cell>
          <cell r="AM70" t="str">
            <v xml:space="preserve"> 種  子</v>
          </cell>
          <cell r="AO70" t="str">
            <v>kg</v>
          </cell>
          <cell r="AP70">
            <v>1.4999999999999999E-2</v>
          </cell>
          <cell r="AS70" t="str">
            <v>另計</v>
          </cell>
          <cell r="AT70" t="str">
            <v xml:space="preserve"> 噴植機具租金</v>
          </cell>
          <cell r="AU70" t="str">
            <v>含噴植、油料</v>
          </cell>
          <cell r="AV70" t="str">
            <v>式</v>
          </cell>
          <cell r="AW70">
            <v>1</v>
          </cell>
          <cell r="BA70" t="str">
            <v xml:space="preserve"> 地被植物養護費</v>
          </cell>
          <cell r="BC70" t="str">
            <v></v>
          </cell>
          <cell r="BD70">
            <v>1</v>
          </cell>
          <cell r="BH70" t="str">
            <v xml:space="preserve"> 工具搬運及損耗</v>
          </cell>
          <cell r="BI70" t="str">
            <v>約勞力部份3%</v>
          </cell>
          <cell r="BJ70" t="str">
            <v>式</v>
          </cell>
          <cell r="BK70">
            <v>1</v>
          </cell>
        </row>
        <row r="71">
          <cell r="A71" t="str">
            <v>a204</v>
          </cell>
          <cell r="B71" t="str">
            <v xml:space="preserve"> 客  土</v>
          </cell>
          <cell r="C71" t="str">
            <v></v>
          </cell>
          <cell r="D71" t="str">
            <v xml:space="preserve"> 購 土 費</v>
          </cell>
          <cell r="E71" t="str">
            <v>有機壤土</v>
          </cell>
          <cell r="F71" t="str">
            <v></v>
          </cell>
          <cell r="G71">
            <v>1</v>
          </cell>
          <cell r="K71" t="str">
            <v xml:space="preserve"> 普 通 工</v>
          </cell>
          <cell r="L71" t="str">
            <v>裝卸</v>
          </cell>
          <cell r="M71" t="str">
            <v>工</v>
          </cell>
          <cell r="N71">
            <v>0.04</v>
          </cell>
          <cell r="O71">
            <v>530</v>
          </cell>
          <cell r="P71">
            <v>21.2</v>
          </cell>
          <cell r="Q71" t="str">
            <v/>
          </cell>
          <cell r="R71" t="str">
            <v xml:space="preserve"> 運  費</v>
          </cell>
          <cell r="S71" t="str">
            <v/>
          </cell>
          <cell r="T71" t="str">
            <v></v>
          </cell>
          <cell r="U71">
            <v>1</v>
          </cell>
          <cell r="X71" t="str">
            <v/>
          </cell>
          <cell r="Y71" t="str">
            <v xml:space="preserve"> 工具搬運及損耗</v>
          </cell>
          <cell r="Z71" t="str">
            <v>約工資部份3%</v>
          </cell>
          <cell r="AA71" t="str">
            <v>式</v>
          </cell>
          <cell r="AB71">
            <v>1</v>
          </cell>
        </row>
        <row r="72">
          <cell r="A72" t="str">
            <v>a206</v>
          </cell>
          <cell r="B72" t="str">
            <v xml:space="preserve"> 植生帶鋪植</v>
          </cell>
          <cell r="C72" t="str">
            <v></v>
          </cell>
          <cell r="D72" t="str">
            <v xml:space="preserve"> 植 生 帶</v>
          </cell>
          <cell r="F72" t="str">
            <v></v>
          </cell>
          <cell r="G72">
            <v>1.05</v>
          </cell>
          <cell r="J72" t="str">
            <v>另計</v>
          </cell>
          <cell r="K72" t="str">
            <v xml:space="preserve"> 普 通 工</v>
          </cell>
          <cell r="L72" t="str">
            <v>整坡</v>
          </cell>
          <cell r="M72" t="str">
            <v>工</v>
          </cell>
          <cell r="N72">
            <v>0.02</v>
          </cell>
          <cell r="O72">
            <v>530</v>
          </cell>
          <cell r="P72">
            <v>10.6</v>
          </cell>
          <cell r="R72" t="str">
            <v xml:space="preserve"> 一般技工</v>
          </cell>
          <cell r="S72" t="str">
            <v>鋪植</v>
          </cell>
          <cell r="T72" t="str">
            <v>工</v>
          </cell>
          <cell r="U72">
            <v>4.0000000000000001E-3</v>
          </cell>
          <cell r="V72">
            <v>720</v>
          </cell>
          <cell r="W72">
            <v>2.88</v>
          </cell>
          <cell r="Y72" t="str">
            <v xml:space="preserve"> 有機肥料</v>
          </cell>
          <cell r="Z72" t="str">
            <v/>
          </cell>
          <cell r="AA72" t="str">
            <v>kg</v>
          </cell>
          <cell r="AB72">
            <v>2</v>
          </cell>
          <cell r="AE72" t="str">
            <v>另計</v>
          </cell>
          <cell r="AF72" t="str">
            <v xml:space="preserve"> 化學肥料</v>
          </cell>
          <cell r="AG72" t="str">
            <v>台肥43號</v>
          </cell>
          <cell r="AH72" t="str">
            <v>kg</v>
          </cell>
          <cell r="AI72">
            <v>0.05</v>
          </cell>
          <cell r="AL72" t="str">
            <v>另計</v>
          </cell>
          <cell r="AM72" t="str">
            <v xml:space="preserve"> 普 通 工</v>
          </cell>
          <cell r="AN72" t="str">
            <v>施肥</v>
          </cell>
          <cell r="AO72" t="str">
            <v>工</v>
          </cell>
          <cell r="AP72">
            <v>1E-3</v>
          </cell>
          <cell r="AQ72">
            <v>530</v>
          </cell>
          <cell r="AR72">
            <v>0.53</v>
          </cell>
          <cell r="AT72" t="str">
            <v xml:space="preserve"> 地被植物養護費</v>
          </cell>
          <cell r="AV72" t="str">
            <v></v>
          </cell>
          <cell r="AW72">
            <v>1</v>
          </cell>
          <cell r="BA72" t="str">
            <v xml:space="preserve"> 補  植</v>
          </cell>
          <cell r="BB72" t="str">
            <v>約植生帶材料費</v>
          </cell>
          <cell r="BC72" t="str">
            <v>式</v>
          </cell>
          <cell r="BD72">
            <v>1</v>
          </cell>
          <cell r="BH72" t="str">
            <v xml:space="preserve"> U型鐵絲</v>
          </cell>
          <cell r="BI72" t="str">
            <v>#8, L=25cm</v>
          </cell>
          <cell r="BJ72" t="str">
            <v>式</v>
          </cell>
          <cell r="BK72">
            <v>1</v>
          </cell>
          <cell r="BO72" t="str">
            <v xml:space="preserve"> 工具搬運及損耗</v>
          </cell>
          <cell r="BP72" t="str">
            <v>約勞力部份3%</v>
          </cell>
          <cell r="BQ72" t="str">
            <v>式</v>
          </cell>
          <cell r="BR72">
            <v>1</v>
          </cell>
        </row>
        <row r="73">
          <cell r="A73" t="str">
            <v>a207</v>
          </cell>
          <cell r="B73" t="str">
            <v xml:space="preserve"> 打樁編柵</v>
          </cell>
          <cell r="C73" t="str">
            <v>m</v>
          </cell>
          <cell r="D73" t="str">
            <v xml:space="preserve"> 編柵材料</v>
          </cell>
          <cell r="F73" t="str">
            <v>m</v>
          </cell>
          <cell r="G73">
            <v>1</v>
          </cell>
          <cell r="K73" t="str">
            <v xml:space="preserve"> 木  樁</v>
          </cell>
          <cell r="L73" t="str">
            <v>φ3~8cm</v>
          </cell>
          <cell r="M73" t="str">
            <v>支</v>
          </cell>
          <cell r="N73">
            <v>2</v>
          </cell>
          <cell r="R73" t="str">
            <v xml:space="preserve"> 普 通 工</v>
          </cell>
          <cell r="S73">
            <v>0</v>
          </cell>
          <cell r="T73" t="str">
            <v>工</v>
          </cell>
          <cell r="U73">
            <v>0.2</v>
          </cell>
          <cell r="V73">
            <v>530</v>
          </cell>
          <cell r="W73">
            <v>106</v>
          </cell>
          <cell r="Y73" t="str">
            <v xml:space="preserve"> 材料小搬運</v>
          </cell>
          <cell r="AA73" t="str">
            <v>式</v>
          </cell>
          <cell r="AB73">
            <v>1</v>
          </cell>
          <cell r="AF73" t="str">
            <v xml:space="preserve"> 工具搬運及損耗</v>
          </cell>
          <cell r="AG73" t="str">
            <v>約工資部份3%</v>
          </cell>
          <cell r="AH73" t="str">
            <v>式</v>
          </cell>
          <cell r="AI73">
            <v>1</v>
          </cell>
        </row>
        <row r="74">
          <cell r="A74" t="str">
            <v>a208</v>
          </cell>
          <cell r="B74" t="str">
            <v xml:space="preserve"> 稻草蓆敷蓋</v>
          </cell>
          <cell r="C74" t="str">
            <v></v>
          </cell>
          <cell r="D74" t="str">
            <v xml:space="preserve"> 稻 草 蓆</v>
          </cell>
          <cell r="E74" t="str">
            <v/>
          </cell>
          <cell r="F74" t="str">
            <v></v>
          </cell>
          <cell r="G74">
            <v>1</v>
          </cell>
          <cell r="J74" t="str">
            <v/>
          </cell>
          <cell r="K74" t="str">
            <v xml:space="preserve"> 普 通 工</v>
          </cell>
          <cell r="L74" t="str">
            <v/>
          </cell>
          <cell r="M74" t="str">
            <v>工</v>
          </cell>
          <cell r="N74">
            <v>2.5000000000000001E-3</v>
          </cell>
          <cell r="O74">
            <v>530</v>
          </cell>
          <cell r="P74">
            <v>1.325</v>
          </cell>
          <cell r="R74" t="str">
            <v xml:space="preserve"> U型鐵絲固定器</v>
          </cell>
          <cell r="T74" t="str">
            <v>式</v>
          </cell>
          <cell r="U74">
            <v>1</v>
          </cell>
          <cell r="Y74" t="str">
            <v xml:space="preserve"> 工具搬運及損耗</v>
          </cell>
          <cell r="Z74" t="str">
            <v>約工資部份3%</v>
          </cell>
          <cell r="AA74" t="str">
            <v>式</v>
          </cell>
          <cell r="AB74">
            <v>1</v>
          </cell>
        </row>
        <row r="75">
          <cell r="A75" t="str">
            <v>a209</v>
          </cell>
          <cell r="B75" t="str">
            <v xml:space="preserve"> 地被植物栽植</v>
          </cell>
          <cell r="C75" t="str">
            <v></v>
          </cell>
          <cell r="D75" t="str">
            <v xml:space="preserve"> 普 通 工</v>
          </cell>
          <cell r="E75" t="str">
            <v>整坡、挖植溝</v>
          </cell>
          <cell r="F75" t="str">
            <v>工</v>
          </cell>
          <cell r="G75">
            <v>0.02</v>
          </cell>
          <cell r="H75">
            <v>530</v>
          </cell>
          <cell r="I75">
            <v>10.6</v>
          </cell>
          <cell r="J75" t="str">
            <v/>
          </cell>
          <cell r="K75" t="str">
            <v xml:space="preserve"> 普 通 工</v>
          </cell>
          <cell r="L75" t="str">
            <v>草苗採集</v>
          </cell>
          <cell r="M75" t="str">
            <v>工</v>
          </cell>
          <cell r="N75">
            <v>1.4999999999999999E-2</v>
          </cell>
          <cell r="O75">
            <v>530</v>
          </cell>
          <cell r="P75">
            <v>7.9499999999999993</v>
          </cell>
          <cell r="R75" t="str">
            <v xml:space="preserve"> 一般技工</v>
          </cell>
          <cell r="S75" t="str">
            <v>種植</v>
          </cell>
          <cell r="T75" t="str">
            <v>工</v>
          </cell>
          <cell r="U75">
            <v>0.01</v>
          </cell>
          <cell r="V75">
            <v>720</v>
          </cell>
          <cell r="W75">
            <v>7.2</v>
          </cell>
          <cell r="Y75" t="str">
            <v xml:space="preserve"> 化學肥料</v>
          </cell>
          <cell r="Z75" t="str">
            <v>台肥43號</v>
          </cell>
          <cell r="AA75" t="str">
            <v>kg</v>
          </cell>
          <cell r="AB75">
            <v>0.05</v>
          </cell>
          <cell r="AE75" t="str">
            <v>另計</v>
          </cell>
          <cell r="AF75" t="str">
            <v xml:space="preserve"> 有機肥料</v>
          </cell>
          <cell r="AG75" t="str">
            <v/>
          </cell>
          <cell r="AH75" t="str">
            <v>kg</v>
          </cell>
          <cell r="AI75">
            <v>2</v>
          </cell>
          <cell r="AL75" t="str">
            <v>另計</v>
          </cell>
          <cell r="AM75" t="str">
            <v xml:space="preserve"> 普 通 工</v>
          </cell>
          <cell r="AN75" t="str">
            <v>施肥</v>
          </cell>
          <cell r="AO75" t="str">
            <v>工</v>
          </cell>
          <cell r="AP75">
            <v>1E-3</v>
          </cell>
          <cell r="AQ75">
            <v>530</v>
          </cell>
          <cell r="AR75">
            <v>0.53</v>
          </cell>
          <cell r="AT75" t="str">
            <v xml:space="preserve"> 地被植物養護費</v>
          </cell>
          <cell r="AV75" t="str">
            <v></v>
          </cell>
          <cell r="AW75">
            <v>1</v>
          </cell>
          <cell r="AZ75" t="str">
            <v>詳分析表</v>
          </cell>
          <cell r="BA75" t="str">
            <v xml:space="preserve"> 補  植</v>
          </cell>
          <cell r="BB75" t="str">
            <v>約工資部份10%</v>
          </cell>
          <cell r="BC75" t="str">
            <v>式</v>
          </cell>
          <cell r="BD75">
            <v>1</v>
          </cell>
          <cell r="BH75" t="str">
            <v xml:space="preserve"> 工具搬運及損耗</v>
          </cell>
          <cell r="BI75" t="str">
            <v>約工資部份3%</v>
          </cell>
          <cell r="BJ75" t="str">
            <v>式</v>
          </cell>
          <cell r="BK75">
            <v>1</v>
          </cell>
        </row>
        <row r="76">
          <cell r="A76" t="str">
            <v>a210</v>
          </cell>
          <cell r="B76" t="str">
            <v xml:space="preserve"> 地被植物養護費</v>
          </cell>
          <cell r="C76" t="str">
            <v></v>
          </cell>
          <cell r="D76" t="str">
            <v xml:space="preserve"> 化學肥料</v>
          </cell>
          <cell r="E76" t="str">
            <v>台肥43號</v>
          </cell>
          <cell r="F76" t="str">
            <v>kg</v>
          </cell>
          <cell r="G76">
            <v>0.01</v>
          </cell>
          <cell r="J76" t="str">
            <v>另計</v>
          </cell>
          <cell r="K76" t="str">
            <v xml:space="preserve"> 普 通 工</v>
          </cell>
          <cell r="L76" t="str">
            <v>施肥</v>
          </cell>
          <cell r="M76" t="str">
            <v>工</v>
          </cell>
          <cell r="N76">
            <v>8.0000000000000004E-4</v>
          </cell>
          <cell r="O76">
            <v>530</v>
          </cell>
          <cell r="P76">
            <v>0.42400000000000004</v>
          </cell>
          <cell r="R76" t="str">
            <v xml:space="preserve"> 水車、司機及水</v>
          </cell>
          <cell r="T76" t="str">
            <v>式</v>
          </cell>
          <cell r="U76">
            <v>1</v>
          </cell>
          <cell r="Y76" t="str">
            <v xml:space="preserve"> 普 通 工</v>
          </cell>
          <cell r="Z76" t="str">
            <v>澆水</v>
          </cell>
          <cell r="AA76" t="str">
            <v>工</v>
          </cell>
          <cell r="AB76">
            <v>0.01</v>
          </cell>
          <cell r="AC76">
            <v>530</v>
          </cell>
          <cell r="AD76">
            <v>5.3</v>
          </cell>
          <cell r="AF76" t="str">
            <v xml:space="preserve"> 工具搬運及損耗</v>
          </cell>
          <cell r="AG76" t="str">
            <v>約工資部份3%</v>
          </cell>
          <cell r="AH76" t="str">
            <v>式</v>
          </cell>
          <cell r="AI76">
            <v>1</v>
          </cell>
        </row>
        <row r="77">
          <cell r="A77" t="str">
            <v>a211</v>
          </cell>
          <cell r="B77" t="str">
            <v xml:space="preserve"> 草花栽植</v>
          </cell>
          <cell r="C77" t="str">
            <v>株</v>
          </cell>
          <cell r="D77" t="str">
            <v xml:space="preserve"> 草  花</v>
          </cell>
          <cell r="F77" t="str">
            <v>株</v>
          </cell>
          <cell r="G77">
            <v>1</v>
          </cell>
          <cell r="J77" t="str">
            <v>另計</v>
          </cell>
          <cell r="K77" t="str">
            <v xml:space="preserve"> 一般技工</v>
          </cell>
          <cell r="L77" t="str">
            <v>種植</v>
          </cell>
          <cell r="M77" t="str">
            <v>工</v>
          </cell>
          <cell r="N77">
            <v>2E-3</v>
          </cell>
          <cell r="O77">
            <v>720</v>
          </cell>
          <cell r="P77">
            <v>1.44</v>
          </cell>
          <cell r="R77" t="str">
            <v xml:space="preserve"> 普 通 工</v>
          </cell>
          <cell r="S77" t="str">
            <v>整坡、挖穴</v>
          </cell>
          <cell r="T77" t="str">
            <v>工</v>
          </cell>
          <cell r="U77">
            <v>2E-3</v>
          </cell>
          <cell r="V77">
            <v>530</v>
          </cell>
          <cell r="W77">
            <v>1.06</v>
          </cell>
          <cell r="Y77" t="str">
            <v xml:space="preserve"> 化學肥料</v>
          </cell>
          <cell r="Z77" t="str">
            <v>台肥43號</v>
          </cell>
          <cell r="AA77" t="str">
            <v>kg</v>
          </cell>
          <cell r="AB77">
            <v>6.0000000000000001E-3</v>
          </cell>
          <cell r="AE77" t="str">
            <v>另計</v>
          </cell>
          <cell r="AF77" t="str">
            <v xml:space="preserve"> 有機肥料</v>
          </cell>
          <cell r="AG77" t="str">
            <v/>
          </cell>
          <cell r="AH77" t="str">
            <v>kg</v>
          </cell>
          <cell r="AI77">
            <v>0.2</v>
          </cell>
          <cell r="AL77" t="str">
            <v>另計</v>
          </cell>
          <cell r="AM77" t="str">
            <v xml:space="preserve"> 普 通 工</v>
          </cell>
          <cell r="AN77" t="str">
            <v>施肥</v>
          </cell>
          <cell r="AO77" t="str">
            <v>工</v>
          </cell>
          <cell r="AP77">
            <v>2.0000000000000001E-4</v>
          </cell>
          <cell r="AQ77">
            <v>530</v>
          </cell>
          <cell r="AR77">
            <v>0.10600000000000001</v>
          </cell>
          <cell r="AT77" t="str">
            <v xml:space="preserve"> 草花養護費</v>
          </cell>
          <cell r="AV77" t="str">
            <v>株</v>
          </cell>
          <cell r="AW77">
            <v>1</v>
          </cell>
          <cell r="AZ77" t="str">
            <v>詳分析表</v>
          </cell>
          <cell r="BA77" t="str">
            <v xml:space="preserve"> 補  植</v>
          </cell>
          <cell r="BB77" t="str">
            <v>約勞力部份10%</v>
          </cell>
          <cell r="BC77" t="str">
            <v>式</v>
          </cell>
          <cell r="BD77">
            <v>1</v>
          </cell>
          <cell r="BH77" t="str">
            <v xml:space="preserve"> 工具搬運及損耗</v>
          </cell>
          <cell r="BI77" t="str">
            <v>約勞力部份3%</v>
          </cell>
          <cell r="BJ77" t="str">
            <v>式</v>
          </cell>
          <cell r="BK77">
            <v>1</v>
          </cell>
        </row>
        <row r="78">
          <cell r="A78" t="str">
            <v>a212</v>
          </cell>
          <cell r="B78" t="str">
            <v xml:space="preserve"> 草花栽植養護費</v>
          </cell>
          <cell r="C78" t="str">
            <v>株</v>
          </cell>
          <cell r="D78" t="str">
            <v xml:space="preserve"> 化學肥料</v>
          </cell>
          <cell r="E78" t="str">
            <v>台肥43號</v>
          </cell>
          <cell r="F78" t="str">
            <v>kg</v>
          </cell>
          <cell r="G78">
            <v>0.01</v>
          </cell>
          <cell r="J78" t="str">
            <v>另計</v>
          </cell>
          <cell r="K78" t="str">
            <v xml:space="preserve"> 普 通 工</v>
          </cell>
          <cell r="L78" t="str">
            <v>施肥</v>
          </cell>
          <cell r="M78" t="str">
            <v>工</v>
          </cell>
          <cell r="N78">
            <v>1E-4</v>
          </cell>
          <cell r="O78">
            <v>530</v>
          </cell>
          <cell r="P78">
            <v>5.3000000000000005E-2</v>
          </cell>
          <cell r="R78" t="str">
            <v xml:space="preserve"> 水車、司機及水</v>
          </cell>
          <cell r="T78" t="str">
            <v>式</v>
          </cell>
          <cell r="U78">
            <v>1</v>
          </cell>
          <cell r="Y78" t="str">
            <v xml:space="preserve"> 普 通 工</v>
          </cell>
          <cell r="Z78" t="str">
            <v>澆水</v>
          </cell>
          <cell r="AA78" t="str">
            <v>工</v>
          </cell>
          <cell r="AB78">
            <v>1E-3</v>
          </cell>
          <cell r="AC78">
            <v>530</v>
          </cell>
          <cell r="AD78">
            <v>0.53</v>
          </cell>
          <cell r="AF78" t="str">
            <v xml:space="preserve"> 工具搬運及損耗</v>
          </cell>
          <cell r="AG78" t="str">
            <v>約工資部份3%</v>
          </cell>
          <cell r="AH78" t="str">
            <v>式</v>
          </cell>
          <cell r="AI78">
            <v>1</v>
          </cell>
        </row>
        <row r="79">
          <cell r="A79" t="str">
            <v>a213</v>
          </cell>
          <cell r="B79" t="str">
            <v xml:space="preserve"> 灌木種植</v>
          </cell>
          <cell r="C79" t="str">
            <v>株</v>
          </cell>
          <cell r="D79" t="str">
            <v xml:space="preserve"> 苗  木</v>
          </cell>
          <cell r="E79" t="str">
            <v>高30~60cm</v>
          </cell>
          <cell r="F79" t="str">
            <v>株</v>
          </cell>
          <cell r="G79">
            <v>1</v>
          </cell>
          <cell r="J79" t="str">
            <v>材料另計</v>
          </cell>
          <cell r="K79" t="str">
            <v xml:space="preserve"> 一般技工</v>
          </cell>
          <cell r="L79" t="str">
            <v>種植</v>
          </cell>
          <cell r="M79" t="str">
            <v>工</v>
          </cell>
          <cell r="N79">
            <v>0.01</v>
          </cell>
          <cell r="O79">
            <v>720</v>
          </cell>
          <cell r="P79">
            <v>7.2</v>
          </cell>
          <cell r="R79" t="str">
            <v xml:space="preserve"> 普 通 工</v>
          </cell>
          <cell r="S79" t="str">
            <v/>
          </cell>
          <cell r="T79" t="str">
            <v>工</v>
          </cell>
          <cell r="U79">
            <v>1.2999999999999999E-2</v>
          </cell>
          <cell r="V79">
            <v>530</v>
          </cell>
          <cell r="W79">
            <v>6.89</v>
          </cell>
          <cell r="Y79" t="str">
            <v xml:space="preserve"> 有機肥料</v>
          </cell>
          <cell r="Z79" t="str">
            <v/>
          </cell>
          <cell r="AA79" t="str">
            <v>kg</v>
          </cell>
          <cell r="AB79">
            <v>2</v>
          </cell>
          <cell r="AE79" t="str">
            <v>另計</v>
          </cell>
          <cell r="AF79" t="str">
            <v xml:space="preserve"> 普 通 工</v>
          </cell>
          <cell r="AG79" t="str">
            <v>施肥</v>
          </cell>
          <cell r="AH79" t="str">
            <v>工</v>
          </cell>
          <cell r="AI79">
            <v>2E-3</v>
          </cell>
          <cell r="AJ79">
            <v>530</v>
          </cell>
          <cell r="AK79">
            <v>1.06</v>
          </cell>
          <cell r="AL79" t="str">
            <v/>
          </cell>
          <cell r="AM79" t="str">
            <v xml:space="preserve"> 客  土</v>
          </cell>
          <cell r="AN79" t="str">
            <v/>
          </cell>
          <cell r="AO79" t="str">
            <v></v>
          </cell>
          <cell r="AP79">
            <v>0.05</v>
          </cell>
          <cell r="AT79" t="str">
            <v xml:space="preserve"> 普 通 工</v>
          </cell>
          <cell r="AU79" t="str">
            <v>施放客土</v>
          </cell>
          <cell r="AV79" t="str">
            <v>工</v>
          </cell>
          <cell r="AW79">
            <v>0.01</v>
          </cell>
          <cell r="AX79">
            <v>530</v>
          </cell>
          <cell r="AY79">
            <v>5.3</v>
          </cell>
          <cell r="AZ79" t="str">
            <v/>
          </cell>
          <cell r="BA79" t="str">
            <v xml:space="preserve"> 灌木養護費</v>
          </cell>
          <cell r="BC79" t="str">
            <v>株</v>
          </cell>
          <cell r="BD79">
            <v>1</v>
          </cell>
          <cell r="BG79" t="str">
            <v>詳分析表</v>
          </cell>
          <cell r="BH79" t="str">
            <v xml:space="preserve"> 補  植</v>
          </cell>
          <cell r="BI79" t="str">
            <v>約苗木部份10%</v>
          </cell>
          <cell r="BJ79" t="str">
            <v>式</v>
          </cell>
          <cell r="BK79">
            <v>1</v>
          </cell>
          <cell r="BO79" t="str">
            <v xml:space="preserve"> 工具搬運及損耗</v>
          </cell>
          <cell r="BP79" t="str">
            <v>約工資部份3%</v>
          </cell>
          <cell r="BQ79" t="str">
            <v>式</v>
          </cell>
          <cell r="BR79">
            <v>1</v>
          </cell>
        </row>
        <row r="80">
          <cell r="A80" t="str">
            <v>a214</v>
          </cell>
          <cell r="B80" t="str">
            <v xml:space="preserve"> 灌木養護費</v>
          </cell>
          <cell r="C80" t="str">
            <v>株</v>
          </cell>
          <cell r="D80" t="str">
            <v xml:space="preserve"> 化學肥料</v>
          </cell>
          <cell r="E80" t="str">
            <v>台肥43號</v>
          </cell>
          <cell r="F80" t="str">
            <v>kg</v>
          </cell>
          <cell r="G80">
            <v>0.01</v>
          </cell>
          <cell r="J80" t="str">
            <v>另計</v>
          </cell>
          <cell r="K80" t="str">
            <v xml:space="preserve"> 普 通 工</v>
          </cell>
          <cell r="L80" t="str">
            <v>施肥</v>
          </cell>
          <cell r="M80" t="str">
            <v>工</v>
          </cell>
          <cell r="N80">
            <v>1E-3</v>
          </cell>
          <cell r="O80">
            <v>530</v>
          </cell>
          <cell r="P80">
            <v>0.53</v>
          </cell>
          <cell r="R80" t="str">
            <v xml:space="preserve"> 水車、司機及水</v>
          </cell>
          <cell r="S80" t="str">
            <v>10升/株</v>
          </cell>
          <cell r="T80" t="str">
            <v>式</v>
          </cell>
          <cell r="U80">
            <v>1</v>
          </cell>
          <cell r="Y80" t="str">
            <v xml:space="preserve"> 普 通 工</v>
          </cell>
          <cell r="Z80" t="str">
            <v>澆水</v>
          </cell>
          <cell r="AA80" t="str">
            <v>工</v>
          </cell>
          <cell r="AB80">
            <v>5.0000000000000001E-3</v>
          </cell>
          <cell r="AC80">
            <v>530</v>
          </cell>
          <cell r="AD80">
            <v>2.65</v>
          </cell>
          <cell r="AE80" t="str">
            <v/>
          </cell>
          <cell r="AF80" t="str">
            <v xml:space="preserve"> 噴藥車租金</v>
          </cell>
          <cell r="AG80" t="str">
            <v>含農藥及水</v>
          </cell>
          <cell r="AH80" t="str">
            <v>式</v>
          </cell>
          <cell r="AI80">
            <v>1</v>
          </cell>
          <cell r="AL80" t="str">
            <v/>
          </cell>
          <cell r="AM80" t="str">
            <v xml:space="preserve"> 一般技工</v>
          </cell>
          <cell r="AN80" t="str">
            <v>病蟲害防治</v>
          </cell>
          <cell r="AO80" t="str">
            <v>工</v>
          </cell>
          <cell r="AP80">
            <v>1E-3</v>
          </cell>
          <cell r="AQ80">
            <v>720</v>
          </cell>
          <cell r="AR80">
            <v>0.72</v>
          </cell>
          <cell r="AT80" t="str">
            <v xml:space="preserve"> 普 通 工</v>
          </cell>
          <cell r="AU80" t="str">
            <v>除草</v>
          </cell>
          <cell r="AV80" t="str">
            <v>工</v>
          </cell>
          <cell r="AW80">
            <v>2E-3</v>
          </cell>
          <cell r="AX80">
            <v>530</v>
          </cell>
          <cell r="AY80">
            <v>1.06</v>
          </cell>
          <cell r="AZ80" t="str">
            <v/>
          </cell>
          <cell r="BA80" t="str">
            <v xml:space="preserve"> 工具搬運及損耗</v>
          </cell>
          <cell r="BB80" t="str">
            <v>約工資部份3%</v>
          </cell>
          <cell r="BC80" t="str">
            <v>式</v>
          </cell>
          <cell r="BD80">
            <v>1</v>
          </cell>
        </row>
        <row r="81">
          <cell r="A81" t="str">
            <v>a215</v>
          </cell>
          <cell r="B81" t="str">
            <v xml:space="preserve"> 喬木栽植</v>
          </cell>
          <cell r="C81" t="str">
            <v>株</v>
          </cell>
          <cell r="D81" t="str">
            <v xml:space="preserve"> 苗  木</v>
          </cell>
          <cell r="E81" t="str">
            <v>木徑3cm土球20cm</v>
          </cell>
          <cell r="F81" t="str">
            <v>株</v>
          </cell>
          <cell r="G81">
            <v>1</v>
          </cell>
          <cell r="J81" t="str">
            <v>材料另計</v>
          </cell>
          <cell r="K81" t="str">
            <v xml:space="preserve"> 普 通 工</v>
          </cell>
          <cell r="L81" t="str">
            <v>挖植穴60x60cm</v>
          </cell>
          <cell r="M81" t="str">
            <v>工</v>
          </cell>
          <cell r="N81">
            <v>0.04</v>
          </cell>
          <cell r="O81">
            <v>530</v>
          </cell>
          <cell r="P81">
            <v>21.2</v>
          </cell>
          <cell r="R81" t="str">
            <v xml:space="preserve"> 一般技工</v>
          </cell>
          <cell r="S81" t="str">
            <v>種植</v>
          </cell>
          <cell r="T81" t="str">
            <v>工</v>
          </cell>
          <cell r="U81">
            <v>0.01</v>
          </cell>
          <cell r="V81">
            <v>720</v>
          </cell>
          <cell r="W81">
            <v>7.2</v>
          </cell>
          <cell r="Y81" t="str">
            <v xml:space="preserve"> 有機肥料</v>
          </cell>
          <cell r="Z81" t="str">
            <v/>
          </cell>
          <cell r="AA81" t="str">
            <v>kg</v>
          </cell>
          <cell r="AB81">
            <v>3</v>
          </cell>
          <cell r="AE81" t="str">
            <v>另計</v>
          </cell>
          <cell r="AF81" t="str">
            <v xml:space="preserve"> 客  土</v>
          </cell>
          <cell r="AG81" t="str">
            <v/>
          </cell>
          <cell r="AH81" t="str">
            <v></v>
          </cell>
          <cell r="AI81">
            <v>0.17</v>
          </cell>
          <cell r="AL81" t="str">
            <v/>
          </cell>
          <cell r="AM81" t="str">
            <v xml:space="preserve"> 支  架</v>
          </cell>
          <cell r="AN81" t="str">
            <v/>
          </cell>
          <cell r="AO81" t="str">
            <v>支</v>
          </cell>
          <cell r="AP81">
            <v>3</v>
          </cell>
          <cell r="AQ81">
            <v>100</v>
          </cell>
          <cell r="AR81">
            <v>300</v>
          </cell>
          <cell r="AT81" t="str">
            <v xml:space="preserve"> 普 通 工</v>
          </cell>
          <cell r="AU81" t="str">
            <v>施肥、客土等</v>
          </cell>
          <cell r="AV81" t="str">
            <v>工</v>
          </cell>
          <cell r="AW81">
            <v>6.3E-2</v>
          </cell>
          <cell r="AX81">
            <v>530</v>
          </cell>
          <cell r="AY81">
            <v>33.39</v>
          </cell>
          <cell r="AZ81" t="str">
            <v/>
          </cell>
          <cell r="BA81" t="str">
            <v xml:space="preserve"> 喬木養護費</v>
          </cell>
          <cell r="BC81" t="str">
            <v>株</v>
          </cell>
          <cell r="BD81">
            <v>1</v>
          </cell>
          <cell r="BG81" t="str">
            <v>詳分析表</v>
          </cell>
          <cell r="BH81" t="str">
            <v xml:space="preserve"> 補  植</v>
          </cell>
          <cell r="BI81" t="str">
            <v>約苗木部份10%</v>
          </cell>
          <cell r="BJ81" t="str">
            <v>式</v>
          </cell>
          <cell r="BK81">
            <v>1</v>
          </cell>
          <cell r="BO81" t="str">
            <v xml:space="preserve"> 工具搬運及損耗</v>
          </cell>
          <cell r="BP81" t="str">
            <v>約工資部份3%</v>
          </cell>
          <cell r="BQ81" t="str">
            <v>式</v>
          </cell>
          <cell r="BR81">
            <v>1</v>
          </cell>
        </row>
        <row r="82">
          <cell r="A82" t="str">
            <v>a216</v>
          </cell>
          <cell r="B82" t="str">
            <v xml:space="preserve"> 喬木養護費</v>
          </cell>
          <cell r="C82" t="str">
            <v>株</v>
          </cell>
          <cell r="D82" t="str">
            <v xml:space="preserve"> 化學肥料</v>
          </cell>
          <cell r="E82" t="str">
            <v>台肥43號</v>
          </cell>
          <cell r="F82" t="str">
            <v>kg</v>
          </cell>
          <cell r="G82">
            <v>0.03</v>
          </cell>
          <cell r="J82" t="str">
            <v>另計</v>
          </cell>
          <cell r="K82" t="str">
            <v xml:space="preserve"> 普 通 工</v>
          </cell>
          <cell r="L82" t="str">
            <v>施肥</v>
          </cell>
          <cell r="M82" t="str">
            <v>工</v>
          </cell>
          <cell r="N82">
            <v>2E-3</v>
          </cell>
          <cell r="O82">
            <v>530</v>
          </cell>
          <cell r="P82">
            <v>1.06</v>
          </cell>
          <cell r="R82" t="str">
            <v xml:space="preserve"> 水車、司機及水</v>
          </cell>
          <cell r="S82" t="str">
            <v/>
          </cell>
          <cell r="T82" t="str">
            <v>式</v>
          </cell>
          <cell r="U82">
            <v>1</v>
          </cell>
          <cell r="Y82" t="str">
            <v xml:space="preserve"> 普 通 工</v>
          </cell>
          <cell r="Z82" t="str">
            <v>澆水</v>
          </cell>
          <cell r="AA82" t="str">
            <v>工</v>
          </cell>
          <cell r="AB82">
            <v>0.02</v>
          </cell>
          <cell r="AC82">
            <v>530</v>
          </cell>
          <cell r="AD82">
            <v>10.6</v>
          </cell>
          <cell r="AE82" t="str">
            <v/>
          </cell>
          <cell r="AF82" t="str">
            <v xml:space="preserve"> 噴藥車租金</v>
          </cell>
          <cell r="AG82" t="str">
            <v>含農藥及水</v>
          </cell>
          <cell r="AH82" t="str">
            <v>式</v>
          </cell>
          <cell r="AI82">
            <v>1</v>
          </cell>
          <cell r="AL82" t="str">
            <v/>
          </cell>
          <cell r="AM82" t="str">
            <v xml:space="preserve"> 一般技工</v>
          </cell>
          <cell r="AN82" t="str">
            <v>病蟲害防治</v>
          </cell>
          <cell r="AO82" t="str">
            <v>工</v>
          </cell>
          <cell r="AP82">
            <v>6.0000000000000001E-3</v>
          </cell>
          <cell r="AQ82">
            <v>720</v>
          </cell>
          <cell r="AR82">
            <v>4.32</v>
          </cell>
          <cell r="AT82" t="str">
            <v xml:space="preserve"> 普 通 工</v>
          </cell>
          <cell r="AU82" t="str">
            <v>除草</v>
          </cell>
          <cell r="AV82" t="str">
            <v>工</v>
          </cell>
          <cell r="AW82">
            <v>5.0000000000000001E-3</v>
          </cell>
          <cell r="AX82">
            <v>530</v>
          </cell>
          <cell r="AY82">
            <v>2.65</v>
          </cell>
          <cell r="AZ82" t="str">
            <v/>
          </cell>
          <cell r="BA82" t="str">
            <v xml:space="preserve"> 工具搬運及損耗</v>
          </cell>
          <cell r="BB82" t="str">
            <v>約工資部份3%</v>
          </cell>
          <cell r="BC82" t="str">
            <v>式</v>
          </cell>
          <cell r="BD82">
            <v>1</v>
          </cell>
        </row>
        <row r="83">
          <cell r="A83" t="str">
            <v>b1</v>
          </cell>
          <cell r="B83" t="str">
            <v xml:space="preserve"> 鑽心體取樣費</v>
          </cell>
          <cell r="C83" t="str">
            <v>組</v>
          </cell>
          <cell r="D83" t="str">
            <v xml:space="preserve"> 取  樣</v>
          </cell>
          <cell r="F83" t="str">
            <v>個</v>
          </cell>
          <cell r="G83">
            <v>3</v>
          </cell>
          <cell r="H83">
            <v>800</v>
          </cell>
          <cell r="I83">
            <v>2400</v>
          </cell>
          <cell r="K83" t="str">
            <v xml:space="preserve"> 切  割</v>
          </cell>
          <cell r="M83" t="str">
            <v>個</v>
          </cell>
          <cell r="N83">
            <v>3</v>
          </cell>
          <cell r="O83">
            <v>200</v>
          </cell>
          <cell r="P83">
            <v>600</v>
          </cell>
          <cell r="R83" t="str">
            <v xml:space="preserve"> 試  壓</v>
          </cell>
          <cell r="T83" t="str">
            <v>個</v>
          </cell>
          <cell r="U83">
            <v>3</v>
          </cell>
          <cell r="V83">
            <v>0</v>
          </cell>
          <cell r="W83">
            <v>0</v>
          </cell>
          <cell r="Y83" t="str">
            <v xml:space="preserve"> 封  頭</v>
          </cell>
          <cell r="AA83" t="str">
            <v>個</v>
          </cell>
          <cell r="AB83">
            <v>3</v>
          </cell>
          <cell r="AC83">
            <v>200</v>
          </cell>
          <cell r="AD83">
            <v>600</v>
          </cell>
          <cell r="AF83" t="str">
            <v xml:space="preserve"> 運  費</v>
          </cell>
          <cell r="AH83" t="str">
            <v>個</v>
          </cell>
          <cell r="AI83">
            <v>3</v>
          </cell>
          <cell r="AJ83">
            <v>100</v>
          </cell>
          <cell r="AK83">
            <v>300</v>
          </cell>
          <cell r="AM83" t="str">
            <v xml:space="preserve"> 工具搬損及其他</v>
          </cell>
          <cell r="AN83">
            <v>0</v>
          </cell>
          <cell r="AO83" t="str">
            <v>式</v>
          </cell>
          <cell r="AP83">
            <v>1</v>
          </cell>
          <cell r="AQ83">
            <v>0</v>
          </cell>
          <cell r="AR83">
            <v>100</v>
          </cell>
        </row>
        <row r="84">
          <cell r="A84" t="str">
            <v>b2</v>
          </cell>
          <cell r="B84" t="str">
            <v xml:space="preserve"> 營造綜合保險費</v>
          </cell>
          <cell r="C84" t="str">
            <v>式</v>
          </cell>
          <cell r="D84" t="str">
            <v xml:space="preserve"> 營造工程第三人意外責任險</v>
          </cell>
          <cell r="F84" t="str">
            <v>式</v>
          </cell>
          <cell r="G84">
            <v>1</v>
          </cell>
          <cell r="K84" t="str">
            <v xml:space="preserve"> 雇主意外責任保險</v>
          </cell>
          <cell r="M84" t="str">
            <v>式</v>
          </cell>
          <cell r="N84">
            <v>1</v>
          </cell>
        </row>
        <row r="85">
          <cell r="A85" t="str">
            <v>b3</v>
          </cell>
          <cell r="B85" t="str">
            <v xml:space="preserve"> 水泥路面伸縮縫</v>
          </cell>
          <cell r="C85" t="str">
            <v>處</v>
          </cell>
          <cell r="D85" t="str">
            <v xml:space="preserve"> 三合夾板</v>
          </cell>
          <cell r="E85" t="str">
            <v>1cm</v>
          </cell>
          <cell r="F85" t="str">
            <v></v>
          </cell>
          <cell r="G85">
            <v>0.9</v>
          </cell>
          <cell r="H85">
            <v>180</v>
          </cell>
          <cell r="I85">
            <v>162</v>
          </cell>
          <cell r="K85" t="str">
            <v xml:space="preserve"> 普 通 工</v>
          </cell>
          <cell r="L85" t="str">
            <v>含裝設費</v>
          </cell>
          <cell r="M85" t="str">
            <v>工</v>
          </cell>
          <cell r="N85">
            <v>0.05</v>
          </cell>
          <cell r="O85">
            <v>530</v>
          </cell>
          <cell r="P85">
            <v>26.5</v>
          </cell>
          <cell r="R85" t="str">
            <v xml:space="preserve"> 工具搬運及損耗</v>
          </cell>
          <cell r="S85" t="str">
            <v>約勞力部份4%</v>
          </cell>
          <cell r="T85" t="str">
            <v>式</v>
          </cell>
          <cell r="U85">
            <v>1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</row>
        <row r="86">
          <cell r="A86" t="str">
            <v>b4</v>
          </cell>
          <cell r="B86" t="str">
            <v xml:space="preserve"> 排  磚</v>
          </cell>
          <cell r="C86" t="str">
            <v>㎡</v>
          </cell>
          <cell r="D86" t="str">
            <v xml:space="preserve"> 紅  磚</v>
          </cell>
          <cell r="F86" t="str">
            <v>塊</v>
          </cell>
          <cell r="G86">
            <v>39</v>
          </cell>
          <cell r="J86" t="str">
            <v>另計</v>
          </cell>
          <cell r="K86" t="str">
            <v xml:space="preserve"> 淨  砂</v>
          </cell>
          <cell r="M86" t="str">
            <v></v>
          </cell>
          <cell r="N86">
            <v>0.06</v>
          </cell>
          <cell r="R86" t="str">
            <v xml:space="preserve"> 一般技工</v>
          </cell>
          <cell r="S86" t="str">
            <v/>
          </cell>
          <cell r="T86" t="str">
            <v>工</v>
          </cell>
          <cell r="U86">
            <v>0.08</v>
          </cell>
          <cell r="V86">
            <v>720</v>
          </cell>
          <cell r="W86">
            <v>57.6</v>
          </cell>
          <cell r="Y86" t="str">
            <v xml:space="preserve"> 普 通 工</v>
          </cell>
          <cell r="Z86" t="str">
            <v/>
          </cell>
          <cell r="AA86" t="str">
            <v>工</v>
          </cell>
          <cell r="AB86">
            <v>0.08</v>
          </cell>
          <cell r="AC86">
            <v>530</v>
          </cell>
          <cell r="AD86">
            <v>42.4</v>
          </cell>
          <cell r="AF86" t="str">
            <v xml:space="preserve"> 工具搬運及損耗</v>
          </cell>
          <cell r="AG86" t="str">
            <v>約勞力部份3%</v>
          </cell>
          <cell r="AH86" t="str">
            <v>式</v>
          </cell>
          <cell r="AI86">
            <v>1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</row>
        <row r="87">
          <cell r="A87" t="str">
            <v>b5</v>
          </cell>
          <cell r="B87" t="str">
            <v xml:space="preserve"> 鋪植草磚</v>
          </cell>
          <cell r="C87" t="str">
            <v>㎡</v>
          </cell>
          <cell r="D87" t="str">
            <v xml:space="preserve"> 植 草 磚</v>
          </cell>
          <cell r="F87" t="str">
            <v>塊</v>
          </cell>
          <cell r="G87">
            <v>4.2</v>
          </cell>
          <cell r="J87" t="str">
            <v>另計</v>
          </cell>
          <cell r="K87" t="str">
            <v xml:space="preserve"> 淨  砂</v>
          </cell>
          <cell r="M87" t="str">
            <v></v>
          </cell>
          <cell r="N87">
            <v>0.04</v>
          </cell>
          <cell r="R87" t="str">
            <v xml:space="preserve"> 一般技工</v>
          </cell>
          <cell r="S87" t="str">
            <v>鋪磚</v>
          </cell>
          <cell r="T87" t="str">
            <v>工</v>
          </cell>
          <cell r="U87">
            <v>0.2</v>
          </cell>
          <cell r="V87">
            <v>720</v>
          </cell>
          <cell r="W87">
            <v>144</v>
          </cell>
          <cell r="Y87" t="str">
            <v xml:space="preserve"> 普 通 工</v>
          </cell>
          <cell r="Z87" t="str">
            <v>整平壓實</v>
          </cell>
          <cell r="AA87" t="str">
            <v>工</v>
          </cell>
          <cell r="AB87">
            <v>0.25</v>
          </cell>
          <cell r="AC87">
            <v>530</v>
          </cell>
          <cell r="AD87">
            <v>132.5</v>
          </cell>
          <cell r="AF87" t="str">
            <v xml:space="preserve"> 工具搬運及損耗</v>
          </cell>
          <cell r="AG87" t="str">
            <v>約勞力部份3%</v>
          </cell>
          <cell r="AH87" t="str">
            <v>式</v>
          </cell>
          <cell r="AI87">
            <v>1</v>
          </cell>
          <cell r="AK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</row>
        <row r="88">
          <cell r="A88" t="str">
            <v>b6</v>
          </cell>
          <cell r="B88" t="str">
            <v xml:space="preserve"> 砌B過火磚及斬毛</v>
          </cell>
          <cell r="C88" t="str">
            <v>㎡</v>
          </cell>
          <cell r="D88" t="str">
            <v xml:space="preserve"> 過 火 磚</v>
          </cell>
          <cell r="E88" t="str">
            <v>6x11x23cm</v>
          </cell>
          <cell r="F88" t="str">
            <v>塊</v>
          </cell>
          <cell r="G88">
            <v>70</v>
          </cell>
          <cell r="H88">
            <v>8</v>
          </cell>
          <cell r="I88">
            <v>560</v>
          </cell>
          <cell r="K88" t="str">
            <v xml:space="preserve"> 1:2水泥砂漿</v>
          </cell>
          <cell r="M88" t="str">
            <v></v>
          </cell>
          <cell r="N88">
            <v>2.5000000000000001E-2</v>
          </cell>
          <cell r="R88" t="str">
            <v xml:space="preserve"> 一般技工</v>
          </cell>
          <cell r="S88" t="str">
            <v>斬毛及勾縫</v>
          </cell>
          <cell r="T88" t="str">
            <v>工</v>
          </cell>
          <cell r="U88">
            <v>0.3</v>
          </cell>
          <cell r="V88">
            <v>720</v>
          </cell>
          <cell r="W88">
            <v>216</v>
          </cell>
          <cell r="Y88" t="str">
            <v xml:space="preserve"> 普 通 工</v>
          </cell>
          <cell r="Z88">
            <v>0</v>
          </cell>
          <cell r="AA88" t="str">
            <v>工</v>
          </cell>
          <cell r="AB88">
            <v>0.26</v>
          </cell>
          <cell r="AC88">
            <v>530</v>
          </cell>
          <cell r="AD88">
            <v>137.80000000000001</v>
          </cell>
          <cell r="AF88" t="str">
            <v xml:space="preserve"> 工具搬運及損耗</v>
          </cell>
          <cell r="AG88" t="str">
            <v>約勞力部份2%</v>
          </cell>
          <cell r="AH88" t="str">
            <v>式</v>
          </cell>
          <cell r="AI88">
            <v>1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</row>
        <row r="89">
          <cell r="A89" t="str">
            <v>b7</v>
          </cell>
          <cell r="B89" t="str">
            <v xml:space="preserve"> 餘土處理</v>
          </cell>
          <cell r="C89" t="str">
            <v></v>
          </cell>
          <cell r="D89" t="str">
            <v xml:space="preserve"> 小卡車運費</v>
          </cell>
          <cell r="E89" t="str">
            <v>運距1km以內</v>
          </cell>
          <cell r="F89" t="str">
            <v></v>
          </cell>
          <cell r="G89">
            <v>1</v>
          </cell>
          <cell r="K89" t="str">
            <v xml:space="preserve"> 整 平 費</v>
          </cell>
          <cell r="M89" t="str">
            <v></v>
          </cell>
          <cell r="N89">
            <v>1</v>
          </cell>
          <cell r="P89">
            <v>0</v>
          </cell>
          <cell r="R89" t="str">
            <v xml:space="preserve"> 工具搬損及其他</v>
          </cell>
          <cell r="T89" t="str">
            <v>式</v>
          </cell>
          <cell r="U89">
            <v>1</v>
          </cell>
          <cell r="W89">
            <v>0</v>
          </cell>
        </row>
        <row r="90">
          <cell r="A90" t="str">
            <v>b8</v>
          </cell>
          <cell r="B90" t="str">
            <v xml:space="preserve"> 堤後回填</v>
          </cell>
          <cell r="C90" t="str">
            <v></v>
          </cell>
          <cell r="D90" t="str">
            <v xml:space="preserve"> 普 通 工</v>
          </cell>
          <cell r="E90" t="str">
            <v>含整平夯實</v>
          </cell>
          <cell r="F90" t="str">
            <v>工</v>
          </cell>
          <cell r="G90">
            <v>0.06</v>
          </cell>
          <cell r="H90">
            <v>530</v>
          </cell>
          <cell r="I90">
            <v>31.799999999999997</v>
          </cell>
          <cell r="K90" t="str">
            <v xml:space="preserve"> 工具搬損及其他</v>
          </cell>
          <cell r="M90" t="str">
            <v>式</v>
          </cell>
          <cell r="N90">
            <v>1</v>
          </cell>
          <cell r="P90">
            <v>0</v>
          </cell>
        </row>
        <row r="91">
          <cell r="A91" t="str">
            <v>b9</v>
          </cell>
          <cell r="B91" t="str">
            <v xml:space="preserve"> 遠運填土</v>
          </cell>
          <cell r="C91" t="str">
            <v></v>
          </cell>
          <cell r="D91" t="str">
            <v xml:space="preserve"> 小卡車運費</v>
          </cell>
          <cell r="E91" t="str">
            <v>運距約1km</v>
          </cell>
          <cell r="F91" t="str">
            <v></v>
          </cell>
          <cell r="G91">
            <v>1</v>
          </cell>
          <cell r="K91" t="str">
            <v xml:space="preserve"> 取  土</v>
          </cell>
          <cell r="M91" t="str">
            <v></v>
          </cell>
          <cell r="N91">
            <v>1</v>
          </cell>
          <cell r="P91">
            <v>0</v>
          </cell>
          <cell r="R91" t="str">
            <v xml:space="preserve"> 工具搬損及其他</v>
          </cell>
          <cell r="T91" t="str">
            <v>式</v>
          </cell>
          <cell r="U91">
            <v>1</v>
          </cell>
          <cell r="W91">
            <v>0</v>
          </cell>
        </row>
        <row r="92">
          <cell r="A92" t="str">
            <v>b10</v>
          </cell>
          <cell r="B92" t="str">
            <v xml:space="preserve"> 護  欄</v>
          </cell>
          <cell r="C92" t="str">
            <v>個</v>
          </cell>
          <cell r="D92" t="str">
            <v xml:space="preserve"> 140kg/c㎡混凝土</v>
          </cell>
          <cell r="E92" t="str">
            <v>材料費</v>
          </cell>
          <cell r="F92" t="str">
            <v></v>
          </cell>
          <cell r="G92">
            <v>0.13800000000000001</v>
          </cell>
          <cell r="H92">
            <v>0</v>
          </cell>
          <cell r="I92">
            <v>0</v>
          </cell>
          <cell r="J92" t="str">
            <v>另計</v>
          </cell>
          <cell r="K92" t="str">
            <v xml:space="preserve"> 140kg/c㎡混凝土</v>
          </cell>
          <cell r="L92" t="str">
            <v>澆置費</v>
          </cell>
          <cell r="M92" t="str">
            <v></v>
          </cell>
          <cell r="N92">
            <v>0.13800000000000001</v>
          </cell>
          <cell r="P92">
            <v>0</v>
          </cell>
          <cell r="R92" t="str">
            <v xml:space="preserve"> 裸露模板</v>
          </cell>
          <cell r="T92" t="str">
            <v></v>
          </cell>
          <cell r="U92">
            <v>1.28</v>
          </cell>
          <cell r="W92">
            <v>0</v>
          </cell>
          <cell r="Y92" t="str">
            <v xml:space="preserve"> 鋼  筋</v>
          </cell>
          <cell r="AA92" t="str">
            <v>kg</v>
          </cell>
          <cell r="AB92">
            <v>7.22</v>
          </cell>
          <cell r="AD92">
            <v>0</v>
          </cell>
          <cell r="AE92" t="str">
            <v>另計</v>
          </cell>
          <cell r="AF92" t="str">
            <v xml:space="preserve"> 鋼筋加工及組立</v>
          </cell>
          <cell r="AH92" t="str">
            <v>kg</v>
          </cell>
          <cell r="AI92">
            <v>7.22</v>
          </cell>
          <cell r="AK92">
            <v>0</v>
          </cell>
          <cell r="AM92" t="str">
            <v xml:space="preserve"> 粉刷白色水泥漆</v>
          </cell>
          <cell r="AN92" t="str">
            <v>一底二度</v>
          </cell>
          <cell r="AO92" t="str">
            <v>式</v>
          </cell>
          <cell r="AP92">
            <v>1</v>
          </cell>
        </row>
        <row r="93">
          <cell r="A93" t="str">
            <v>b11</v>
          </cell>
          <cell r="B93" t="str">
            <v xml:space="preserve"> 鍍鋅鐵絲箱型石籠</v>
          </cell>
          <cell r="C93" t="str">
            <v>m</v>
          </cell>
          <cell r="D93" t="str">
            <v xml:space="preserve"> 普 通 工</v>
          </cell>
          <cell r="F93" t="str">
            <v>工</v>
          </cell>
          <cell r="G93">
            <v>0.3</v>
          </cell>
          <cell r="H93">
            <v>530</v>
          </cell>
          <cell r="I93">
            <v>159</v>
          </cell>
          <cell r="K93" t="str">
            <v xml:space="preserve"> 塊  石</v>
          </cell>
          <cell r="M93" t="str">
            <v></v>
          </cell>
          <cell r="N93">
            <v>1</v>
          </cell>
          <cell r="P93">
            <v>0</v>
          </cell>
          <cell r="R93" t="str">
            <v xml:space="preserve"> 箱型石籠</v>
          </cell>
          <cell r="T93" t="str">
            <v></v>
          </cell>
          <cell r="W93">
            <v>0</v>
          </cell>
          <cell r="X93" t="str">
            <v>另計</v>
          </cell>
          <cell r="Y93" t="str">
            <v xml:space="preserve"> 鍍鋅鐵絲</v>
          </cell>
          <cell r="Z93" t="str">
            <v>綑紮用</v>
          </cell>
          <cell r="AA93" t="str">
            <v>式</v>
          </cell>
          <cell r="AB93">
            <v>1</v>
          </cell>
          <cell r="AD93">
            <v>0</v>
          </cell>
          <cell r="AF93" t="str">
            <v xml:space="preserve"> 工具搬運及損耗</v>
          </cell>
          <cell r="AG93" t="str">
            <v>約勞力部份5%</v>
          </cell>
          <cell r="AH93" t="str">
            <v>式</v>
          </cell>
          <cell r="AI93">
            <v>1</v>
          </cell>
          <cell r="AK93">
            <v>0</v>
          </cell>
        </row>
        <row r="94">
          <cell r="A94" t="str">
            <v>b12</v>
          </cell>
          <cell r="B94" t="str">
            <v xml:space="preserve"> 不銹鋼踏步</v>
          </cell>
          <cell r="C94" t="str">
            <v>支</v>
          </cell>
          <cell r="D94" t="str">
            <v xml:space="preserve"> φ19mm不銹鋼條</v>
          </cell>
          <cell r="E94" t="str">
            <v>L=1.14m</v>
          </cell>
          <cell r="F94" t="str">
            <v>kg</v>
          </cell>
          <cell r="G94">
            <v>2.81</v>
          </cell>
          <cell r="H94">
            <v>0</v>
          </cell>
          <cell r="I94">
            <v>0</v>
          </cell>
          <cell r="J94" t="str">
            <v>另計</v>
          </cell>
          <cell r="K94" t="str">
            <v xml:space="preserve"> 加工及按裝</v>
          </cell>
          <cell r="M94" t="str">
            <v>式</v>
          </cell>
          <cell r="N94">
            <v>1</v>
          </cell>
          <cell r="P94">
            <v>0</v>
          </cell>
          <cell r="R94" t="str">
            <v xml:space="preserve"> 工具搬損及其他</v>
          </cell>
          <cell r="T94" t="str">
            <v>式</v>
          </cell>
          <cell r="U94">
            <v>1</v>
          </cell>
          <cell r="W94">
            <v>0</v>
          </cell>
        </row>
        <row r="95">
          <cell r="A95" t="str">
            <v>b13</v>
          </cell>
          <cell r="B95" t="str">
            <v xml:space="preserve"> 7噸鼎形塊製作及吊放</v>
          </cell>
          <cell r="C95" t="str">
            <v>個</v>
          </cell>
          <cell r="D95" t="str">
            <v xml:space="preserve"> 175kg/c㎡混凝土</v>
          </cell>
          <cell r="E95" t="str">
            <v>材料費及澆置費</v>
          </cell>
          <cell r="F95" t="str">
            <v></v>
          </cell>
          <cell r="G95">
            <v>3.2120000000000002</v>
          </cell>
          <cell r="J95" t="str">
            <v>另計</v>
          </cell>
          <cell r="K95" t="str">
            <v xml:space="preserve"> 鐵模租金</v>
          </cell>
          <cell r="L95" t="str">
            <v>運費另計</v>
          </cell>
          <cell r="M95" t="str">
            <v></v>
          </cell>
          <cell r="N95">
            <v>18.158000000000001</v>
          </cell>
          <cell r="O95">
            <v>70</v>
          </cell>
          <cell r="P95">
            <v>1271.0600000000002</v>
          </cell>
          <cell r="R95" t="str">
            <v xml:space="preserve"> 鐵模組拆</v>
          </cell>
          <cell r="T95" t="str">
            <v></v>
          </cell>
          <cell r="U95">
            <v>18.158000000000001</v>
          </cell>
          <cell r="V95">
            <v>40</v>
          </cell>
          <cell r="W95">
            <v>726.32</v>
          </cell>
          <cell r="Y95" t="str">
            <v xml:space="preserve"> 鼎形塊養生</v>
          </cell>
          <cell r="AA95" t="str">
            <v>個</v>
          </cell>
          <cell r="AB95">
            <v>1</v>
          </cell>
          <cell r="AC95">
            <v>40</v>
          </cell>
          <cell r="AD95">
            <v>40</v>
          </cell>
          <cell r="AF95" t="str">
            <v xml:space="preserve"> 鼎形塊堆積</v>
          </cell>
          <cell r="AH95" t="str">
            <v>噸</v>
          </cell>
          <cell r="AI95">
            <v>7</v>
          </cell>
          <cell r="AJ95">
            <v>35</v>
          </cell>
          <cell r="AK95">
            <v>245</v>
          </cell>
          <cell r="AL95" t="str">
            <v/>
          </cell>
          <cell r="AM95" t="str">
            <v xml:space="preserve"> 鼎形塊搬運</v>
          </cell>
          <cell r="AO95" t="str">
            <v>噸</v>
          </cell>
          <cell r="AP95">
            <v>7</v>
          </cell>
          <cell r="AQ95">
            <v>50</v>
          </cell>
          <cell r="AR95">
            <v>350</v>
          </cell>
          <cell r="AT95" t="str">
            <v xml:space="preserve"> 鼎形塊吊放</v>
          </cell>
          <cell r="AV95" t="str">
            <v>個</v>
          </cell>
          <cell r="AW95">
            <v>1</v>
          </cell>
          <cell r="AX95">
            <v>500</v>
          </cell>
          <cell r="AY95">
            <v>500</v>
          </cell>
          <cell r="BA95" t="str">
            <v xml:space="preserve"> 工具損耗及其他</v>
          </cell>
          <cell r="BC95" t="str">
            <v>式</v>
          </cell>
          <cell r="BD95">
            <v>1</v>
          </cell>
        </row>
        <row r="96">
          <cell r="A96" t="str">
            <v>b14</v>
          </cell>
          <cell r="B96" t="str">
            <v xml:space="preserve"> 10噸鼎形塊製作</v>
          </cell>
          <cell r="C96" t="str">
            <v>個</v>
          </cell>
          <cell r="D96" t="str">
            <v xml:space="preserve"> 175kg/c㎡混凝土</v>
          </cell>
          <cell r="E96" t="str">
            <v>材料費及澆置費</v>
          </cell>
          <cell r="F96" t="str">
            <v></v>
          </cell>
          <cell r="G96">
            <v>4.4470000000000001</v>
          </cell>
          <cell r="J96" t="str">
            <v>另計</v>
          </cell>
          <cell r="K96" t="str">
            <v xml:space="preserve"> 鐵模租金</v>
          </cell>
          <cell r="L96" t="str">
            <v>運費另計</v>
          </cell>
          <cell r="M96" t="str">
            <v></v>
          </cell>
          <cell r="N96">
            <v>22.44</v>
          </cell>
          <cell r="O96">
            <v>70</v>
          </cell>
          <cell r="P96">
            <v>1570.8000000000002</v>
          </cell>
          <cell r="R96" t="str">
            <v xml:space="preserve"> 鐵模組拆</v>
          </cell>
          <cell r="T96" t="str">
            <v></v>
          </cell>
          <cell r="U96">
            <v>22.44</v>
          </cell>
          <cell r="V96">
            <v>40</v>
          </cell>
          <cell r="W96">
            <v>897.6</v>
          </cell>
          <cell r="Y96" t="str">
            <v xml:space="preserve"> 鼎形塊養生</v>
          </cell>
          <cell r="AA96" t="str">
            <v>個</v>
          </cell>
          <cell r="AB96">
            <v>1</v>
          </cell>
          <cell r="AC96">
            <v>60</v>
          </cell>
          <cell r="AD96">
            <v>60</v>
          </cell>
          <cell r="AF96" t="str">
            <v xml:space="preserve"> 鋼  索</v>
          </cell>
          <cell r="AG96" t="str">
            <v>φ25mm</v>
          </cell>
          <cell r="AH96" t="str">
            <v>kg</v>
          </cell>
          <cell r="AI96">
            <v>15.73</v>
          </cell>
          <cell r="AL96" t="str">
            <v>另計</v>
          </cell>
          <cell r="AM96" t="str">
            <v xml:space="preserve"> 鋼 索 夾</v>
          </cell>
          <cell r="AO96" t="str">
            <v>個</v>
          </cell>
          <cell r="AP96">
            <v>6</v>
          </cell>
          <cell r="AS96" t="str">
            <v>另計</v>
          </cell>
          <cell r="AT96" t="str">
            <v xml:space="preserve"> 工具損耗及其他</v>
          </cell>
          <cell r="AV96" t="str">
            <v>式</v>
          </cell>
          <cell r="AW96">
            <v>1</v>
          </cell>
        </row>
        <row r="97">
          <cell r="A97" t="str">
            <v>b15</v>
          </cell>
          <cell r="B97" t="str">
            <v xml:space="preserve"> 採淨石子</v>
          </cell>
          <cell r="C97" t="str">
            <v></v>
          </cell>
          <cell r="D97" t="str">
            <v xml:space="preserve"> 普 通 工</v>
          </cell>
          <cell r="F97" t="str">
            <v>工</v>
          </cell>
          <cell r="G97">
            <v>0.9</v>
          </cell>
          <cell r="H97">
            <v>530</v>
          </cell>
          <cell r="I97">
            <v>477</v>
          </cell>
          <cell r="K97" t="str">
            <v xml:space="preserve"> 搬 運 費</v>
          </cell>
          <cell r="L97" t="str">
            <v>運距約60m</v>
          </cell>
          <cell r="M97" t="str">
            <v>工</v>
          </cell>
          <cell r="N97">
            <v>0.19</v>
          </cell>
          <cell r="O97">
            <v>530</v>
          </cell>
          <cell r="P97">
            <v>100.7</v>
          </cell>
          <cell r="R97" t="str">
            <v xml:space="preserve"> 工具搬運及損耗</v>
          </cell>
          <cell r="S97" t="str">
            <v>約工資部份3%</v>
          </cell>
          <cell r="T97" t="str">
            <v>式</v>
          </cell>
          <cell r="U97">
            <v>1</v>
          </cell>
        </row>
        <row r="98">
          <cell r="A98" t="str">
            <v>b16</v>
          </cell>
          <cell r="B98" t="str">
            <v xml:space="preserve"> 採 塊 石(長徑約φ30cm)</v>
          </cell>
          <cell r="C98" t="str">
            <v></v>
          </cell>
          <cell r="D98" t="str">
            <v xml:space="preserve"> 普 通 工</v>
          </cell>
          <cell r="F98" t="str">
            <v>工</v>
          </cell>
          <cell r="G98">
            <v>0.45</v>
          </cell>
          <cell r="H98">
            <v>530</v>
          </cell>
          <cell r="I98">
            <v>238.5</v>
          </cell>
          <cell r="K98" t="str">
            <v xml:space="preserve"> 搬 運 費</v>
          </cell>
          <cell r="L98" t="str">
            <v>運距約60m</v>
          </cell>
          <cell r="M98" t="str">
            <v>工</v>
          </cell>
          <cell r="N98">
            <v>0.23</v>
          </cell>
          <cell r="O98">
            <v>530</v>
          </cell>
          <cell r="P98">
            <v>121.9</v>
          </cell>
          <cell r="R98" t="str">
            <v xml:space="preserve"> 工具搬運及損耗</v>
          </cell>
          <cell r="S98" t="str">
            <v>約工資部份3%</v>
          </cell>
          <cell r="T98" t="str">
            <v>式</v>
          </cell>
          <cell r="U98">
            <v>1</v>
          </cell>
        </row>
        <row r="99">
          <cell r="A99" t="str">
            <v>b17</v>
          </cell>
          <cell r="B99" t="str">
            <v xml:space="preserve"> 採大塊石(長徑 &gt;50cm)</v>
          </cell>
          <cell r="C99" t="str">
            <v></v>
          </cell>
          <cell r="D99" t="str">
            <v xml:space="preserve"> 普 通 工</v>
          </cell>
          <cell r="F99" t="str">
            <v>工</v>
          </cell>
          <cell r="G99">
            <v>0.7</v>
          </cell>
          <cell r="H99">
            <v>530</v>
          </cell>
          <cell r="I99">
            <v>371</v>
          </cell>
          <cell r="K99" t="str">
            <v xml:space="preserve"> 搬 運 費</v>
          </cell>
          <cell r="L99" t="str">
            <v/>
          </cell>
          <cell r="M99" t="str">
            <v>時</v>
          </cell>
          <cell r="N99">
            <v>0.1</v>
          </cell>
          <cell r="O99">
            <v>800</v>
          </cell>
          <cell r="P99">
            <v>80</v>
          </cell>
          <cell r="R99" t="str">
            <v xml:space="preserve"> 裝 卸 費</v>
          </cell>
          <cell r="T99" t="str">
            <v>式</v>
          </cell>
          <cell r="U99">
            <v>1</v>
          </cell>
        </row>
        <row r="100">
          <cell r="A100" t="str">
            <v>b18</v>
          </cell>
          <cell r="B100" t="str">
            <v xml:space="preserve"> 填 塊 石</v>
          </cell>
          <cell r="C100" t="str">
            <v></v>
          </cell>
          <cell r="D100" t="str">
            <v xml:space="preserve"> 塊  石</v>
          </cell>
          <cell r="E100" t="str">
            <v>長徑約φ30cm</v>
          </cell>
          <cell r="F100" t="str">
            <v></v>
          </cell>
          <cell r="G100">
            <v>1</v>
          </cell>
          <cell r="K100" t="str">
            <v xml:space="preserve"> 普 通 工</v>
          </cell>
          <cell r="M100" t="str">
            <v>工</v>
          </cell>
          <cell r="N100">
            <v>0.3</v>
          </cell>
          <cell r="O100">
            <v>530</v>
          </cell>
          <cell r="P100">
            <v>159</v>
          </cell>
          <cell r="R100" t="str">
            <v xml:space="preserve"> 工具搬運及損耗</v>
          </cell>
          <cell r="S100" t="str">
            <v>約工資部份3%</v>
          </cell>
          <cell r="T100" t="str">
            <v>式</v>
          </cell>
          <cell r="U100">
            <v>1</v>
          </cell>
        </row>
        <row r="101">
          <cell r="A101" t="str">
            <v>b19</v>
          </cell>
          <cell r="B101" t="str">
            <v xml:space="preserve"> 崁大塊石</v>
          </cell>
          <cell r="C101" t="str">
            <v>㎡</v>
          </cell>
          <cell r="D101" t="str">
            <v xml:space="preserve"> 塊  石</v>
          </cell>
          <cell r="E101" t="str">
            <v>長徑&gt;50cm</v>
          </cell>
          <cell r="F101" t="str">
            <v></v>
          </cell>
          <cell r="G101">
            <v>0.15</v>
          </cell>
          <cell r="K101" t="str">
            <v xml:space="preserve"> 一般技工</v>
          </cell>
          <cell r="L101" t="str">
            <v/>
          </cell>
          <cell r="M101" t="str">
            <v>工</v>
          </cell>
          <cell r="N101">
            <v>0.14000000000000001</v>
          </cell>
          <cell r="O101">
            <v>720</v>
          </cell>
          <cell r="P101">
            <v>100.80000000000001</v>
          </cell>
          <cell r="R101" t="str">
            <v xml:space="preserve"> 普 通 工</v>
          </cell>
          <cell r="S101" t="str">
            <v/>
          </cell>
          <cell r="T101" t="str">
            <v>工</v>
          </cell>
          <cell r="U101">
            <v>0.09</v>
          </cell>
          <cell r="V101">
            <v>530</v>
          </cell>
          <cell r="W101">
            <v>47.699999999999996</v>
          </cell>
          <cell r="Y101" t="str">
            <v xml:space="preserve"> 工具搬運及損耗</v>
          </cell>
          <cell r="Z101" t="str">
            <v>約勞力部份2%</v>
          </cell>
          <cell r="AA101" t="str">
            <v>式</v>
          </cell>
          <cell r="AB101">
            <v>1</v>
          </cell>
        </row>
        <row r="102">
          <cell r="A102" t="str">
            <v>b20</v>
          </cell>
          <cell r="B102" t="str">
            <v>簡易基礎模板製作及裝拆</v>
          </cell>
          <cell r="C102" t="str">
            <v>㎡</v>
          </cell>
          <cell r="D102" t="str">
            <v>板料</v>
          </cell>
          <cell r="E102" t="str">
            <v>得使用鋼鈑</v>
          </cell>
          <cell r="F102" t="str">
            <v></v>
          </cell>
          <cell r="G102">
            <v>1.7999999999999999E-2</v>
          </cell>
          <cell r="H102">
            <v>1600</v>
          </cell>
          <cell r="K102" t="str">
            <v>角材</v>
          </cell>
          <cell r="L102" t="str">
            <v>或角鋼</v>
          </cell>
          <cell r="M102" t="str">
            <v></v>
          </cell>
          <cell r="N102">
            <v>8.0000000000000002E-3</v>
          </cell>
          <cell r="O102">
            <v>1200</v>
          </cell>
          <cell r="R102" t="str">
            <v>鐵件</v>
          </cell>
          <cell r="T102" t="str">
            <v>kg</v>
          </cell>
          <cell r="U102">
            <v>0.1</v>
          </cell>
          <cell r="V102">
            <v>22</v>
          </cell>
          <cell r="Y102" t="str">
            <v>一般技工</v>
          </cell>
          <cell r="AA102" t="str">
            <v>工</v>
          </cell>
          <cell r="AB102">
            <v>0.06</v>
          </cell>
          <cell r="AC102">
            <v>720</v>
          </cell>
          <cell r="AF102" t="str">
            <v>普通工</v>
          </cell>
          <cell r="AH102" t="str">
            <v>工</v>
          </cell>
          <cell r="AI102">
            <v>0.03</v>
          </cell>
          <cell r="AJ102">
            <v>530</v>
          </cell>
          <cell r="AM102" t="str">
            <v>工具搬運及損耗</v>
          </cell>
          <cell r="AO102" t="str">
            <v>式</v>
          </cell>
          <cell r="AP102">
            <v>1</v>
          </cell>
        </row>
        <row r="103">
          <cell r="A103" t="str">
            <v>b21</v>
          </cell>
          <cell r="B103" t="str">
            <v>拋塊石</v>
          </cell>
          <cell r="C103" t="str">
            <v>m3</v>
          </cell>
          <cell r="D103" t="str">
            <v>塊石</v>
          </cell>
          <cell r="E103" t="str">
            <v>長徑&gt;50cm</v>
          </cell>
          <cell r="F103" t="str">
            <v>m3</v>
          </cell>
          <cell r="G103">
            <v>1</v>
          </cell>
          <cell r="K103" t="str">
            <v xml:space="preserve"> 特種技工</v>
          </cell>
          <cell r="M103" t="str">
            <v>工</v>
          </cell>
          <cell r="N103">
            <v>0.05</v>
          </cell>
          <cell r="O103">
            <v>800</v>
          </cell>
          <cell r="P103">
            <v>40</v>
          </cell>
          <cell r="R103" t="str">
            <v xml:space="preserve"> 普 通 工</v>
          </cell>
          <cell r="T103" t="str">
            <v>工</v>
          </cell>
          <cell r="U103">
            <v>0.05</v>
          </cell>
          <cell r="V103">
            <v>530</v>
          </cell>
          <cell r="W103">
            <v>26.5</v>
          </cell>
          <cell r="Y103" t="str">
            <v xml:space="preserve"> 挖 土 機</v>
          </cell>
          <cell r="AA103" t="str">
            <v>時</v>
          </cell>
          <cell r="AB103">
            <v>0.1</v>
          </cell>
          <cell r="AC103">
            <v>900</v>
          </cell>
          <cell r="AD103">
            <v>90</v>
          </cell>
          <cell r="AF103" t="str">
            <v xml:space="preserve"> 工具搬運及損耗</v>
          </cell>
          <cell r="AG103" t="str">
            <v>約工資部份3%</v>
          </cell>
          <cell r="AH103" t="str">
            <v>式</v>
          </cell>
          <cell r="AI103">
            <v>1</v>
          </cell>
        </row>
        <row r="104">
          <cell r="A104" t="str">
            <v>b22</v>
          </cell>
        </row>
        <row r="105">
          <cell r="A105" t="str">
            <v>b23</v>
          </cell>
        </row>
        <row r="106">
          <cell r="A106" t="str">
            <v>b24</v>
          </cell>
        </row>
        <row r="107">
          <cell r="A107" t="str">
            <v>b25</v>
          </cell>
        </row>
        <row r="108">
          <cell r="A108" t="str">
            <v>b26</v>
          </cell>
        </row>
        <row r="109">
          <cell r="A109" t="str">
            <v>b27</v>
          </cell>
        </row>
        <row r="110">
          <cell r="A110" t="str">
            <v>b28</v>
          </cell>
        </row>
        <row r="111">
          <cell r="A111" t="str">
            <v>b29</v>
          </cell>
        </row>
        <row r="112">
          <cell r="A112">
            <v>0</v>
          </cell>
        </row>
      </sheetData>
      <sheetData sheetId="13" refreshError="1"/>
      <sheetData sheetId="1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單價分析表"/>
      <sheetName val="工程預算書"/>
      <sheetName val="資料庫"/>
      <sheetName val="工程預算書 "/>
      <sheetName val="工程計算表"/>
      <sheetName val="封面 "/>
      <sheetName val="分析資料"/>
      <sheetName val="單價總表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預算明細表"/>
      <sheetName val="封面"/>
      <sheetName val="預算書總表"/>
      <sheetName val="印鑑單"/>
      <sheetName val="單價分析表"/>
      <sheetName val="施工補充說明"/>
      <sheetName val="數量統計表"/>
      <sheetName val="數量計算表"/>
      <sheetName val="土石方"/>
      <sheetName val="路寬計算表"/>
      <sheetName val="數量計算表(1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底標"/>
      <sheetName val="總表 "/>
      <sheetName val="No.1"/>
      <sheetName val="No.2"/>
      <sheetName val="No34"/>
      <sheetName val="No5"/>
      <sheetName val="估價說明"/>
      <sheetName val="基本單價"/>
      <sheetName val="單價分析"/>
      <sheetName val="數量"/>
      <sheetName val="鋼筋"/>
      <sheetName val="挖填"/>
      <sheetName val="軟岩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底標"/>
      <sheetName val="總表 "/>
      <sheetName val="No.1"/>
      <sheetName val="No.2"/>
      <sheetName val="No34"/>
      <sheetName val="No5"/>
      <sheetName val="估價說明"/>
      <sheetName val="基本單價"/>
      <sheetName val="單價分析"/>
      <sheetName val="數量"/>
      <sheetName val="鋼筋"/>
      <sheetName val="挖填"/>
      <sheetName val="軟岩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封面"/>
      <sheetName val="封面 (2)"/>
      <sheetName val="預1"/>
      <sheetName val="預2"/>
      <sheetName val="單1"/>
      <sheetName val="單2"/>
      <sheetName val="單3"/>
      <sheetName val="單4"/>
      <sheetName val="單5"/>
      <sheetName val="單6"/>
      <sheetName val="單7"/>
      <sheetName val="統1"/>
      <sheetName val="計1"/>
      <sheetName val="工程預算書 "/>
      <sheetName val="單價總表"/>
      <sheetName val="單價"/>
      <sheetName val="預算明細表"/>
      <sheetName val="單析表"/>
      <sheetName val="工程預算"/>
      <sheetName val="單價分析表(1-11)"/>
      <sheetName val="Sheet2"/>
    </sheetNames>
    <sheetDataSet>
      <sheetData sheetId="0"/>
      <sheetData sheetId="1"/>
      <sheetData sheetId="2"/>
      <sheetData sheetId="3" refreshError="1">
        <row r="8">
          <cell r="A8">
            <v>1</v>
          </cell>
        </row>
        <row r="9">
          <cell r="A9">
            <v>2</v>
          </cell>
        </row>
        <row r="10">
          <cell r="A10">
            <v>3</v>
          </cell>
        </row>
        <row r="11">
          <cell r="A11">
            <v>4</v>
          </cell>
        </row>
        <row r="12">
          <cell r="A12">
            <v>5</v>
          </cell>
        </row>
        <row r="13">
          <cell r="A13">
            <v>6</v>
          </cell>
        </row>
        <row r="14">
          <cell r="A14">
            <v>7</v>
          </cell>
        </row>
        <row r="15">
          <cell r="A15">
            <v>8</v>
          </cell>
        </row>
        <row r="16">
          <cell r="A16">
            <v>9</v>
          </cell>
        </row>
        <row r="17">
          <cell r="A17">
            <v>10</v>
          </cell>
        </row>
        <row r="18">
          <cell r="A18">
            <v>11</v>
          </cell>
        </row>
        <row r="19">
          <cell r="A19">
            <v>12</v>
          </cell>
        </row>
        <row r="20">
          <cell r="A20">
            <v>13</v>
          </cell>
        </row>
        <row r="21">
          <cell r="A21">
            <v>14</v>
          </cell>
        </row>
        <row r="22">
          <cell r="A22">
            <v>15</v>
          </cell>
        </row>
        <row r="23">
          <cell r="A23">
            <v>16</v>
          </cell>
        </row>
        <row r="24">
          <cell r="A24">
            <v>17</v>
          </cell>
        </row>
        <row r="25">
          <cell r="A25">
            <v>18</v>
          </cell>
        </row>
        <row r="26">
          <cell r="A26">
            <v>19</v>
          </cell>
        </row>
        <row r="27">
          <cell r="A27">
            <v>20</v>
          </cell>
        </row>
        <row r="28">
          <cell r="A28">
            <v>21</v>
          </cell>
        </row>
        <row r="29">
          <cell r="A29">
            <v>22</v>
          </cell>
        </row>
        <row r="30">
          <cell r="A30">
            <v>23</v>
          </cell>
        </row>
        <row r="31">
          <cell r="A31">
            <v>24</v>
          </cell>
        </row>
        <row r="32">
          <cell r="A32">
            <v>25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資料"/>
      <sheetName val="空污費申報表"/>
      <sheetName val="計畫說明書"/>
      <sheetName val="預算書"/>
      <sheetName val="單價分析"/>
      <sheetName val="進度表"/>
      <sheetName val="單價計算"/>
      <sheetName val="計算乙表"/>
      <sheetName val="擋土牆數量"/>
      <sheetName val="統計表"/>
      <sheetName val="鋼筋計算(環村擋牆3.5-280) "/>
      <sheetName val="鋼筋計算(環村擋牆4.0-375)"/>
      <sheetName val="鋼筋計算(環村擋牆3.5-325)"/>
      <sheetName val="鋼筋計算(環村擋牆4.0-375) (2)"/>
      <sheetName val="鋼筋計算(環村擋牆4.5-409)"/>
      <sheetName val="鋼筋計算(環村擋牆3.0-291) "/>
      <sheetName val="鋼筋計算(環村擋牆3.0-187)"/>
      <sheetName val="鋼筋計算(環村擋牆3.5-212)"/>
      <sheetName val="鋼筋計算(環村擋牆3.0-254)"/>
      <sheetName val="鋼筋計算(環村擋牆3.0-161)"/>
      <sheetName val="鋼筋計算(環村擋牆3.0-079)"/>
      <sheetName val="鋼筋計算(環村擋牆3.0-165)"/>
      <sheetName val="鋼筋計算(支線擋牆4.75)"/>
      <sheetName val="鋼筋計算(樓梯擋牆3.0-250)"/>
      <sheetName val="鋼筋計算(台電電箱)"/>
      <sheetName val="計算表橫式(1)"/>
      <sheetName val="計算表橫式(2)"/>
      <sheetName val="常用單價分析"/>
      <sheetName val="潛壩安定檢算"/>
      <sheetName val="整流水理計算"/>
      <sheetName val="抽查紀錄表"/>
      <sheetName val="請款統計單"/>
      <sheetName val="請款單"/>
      <sheetName val="驗收證明"/>
      <sheetName val="驗收紀錄"/>
      <sheetName val="施工日誌"/>
      <sheetName val="工期核算表"/>
      <sheetName val="結算明細表"/>
      <sheetName val="變更紀錄"/>
      <sheetName val="變更設計說明書1"/>
      <sheetName val="預算變更1"/>
      <sheetName val="計算乙表變更1"/>
      <sheetName val="統計表變更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7">
          <cell r="S27">
            <v>1789.17</v>
          </cell>
        </row>
      </sheetData>
      <sheetData sheetId="18"/>
      <sheetData sheetId="19"/>
      <sheetData sheetId="20">
        <row r="27">
          <cell r="S27">
            <v>1645.35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資料庫"/>
      <sheetName val="工程預算書 "/>
      <sheetName val="工程竣工"/>
      <sheetName val="結算明細表"/>
      <sheetName val="工程計算表"/>
      <sheetName val="數量計算表 "/>
      <sheetName val="數量計算表  (2)"/>
      <sheetName val="單價分析表"/>
      <sheetName val="封面 "/>
      <sheetName val="封面  (2)"/>
      <sheetName val="工程預算書  (2)"/>
      <sheetName val="單價分析表 (2)"/>
      <sheetName val="封面  (3)"/>
      <sheetName val="證明書"/>
      <sheetName val="工程預算書_"/>
      <sheetName val="數量計算表_"/>
      <sheetName val="數量計算表__(2)"/>
      <sheetName val="封面_"/>
      <sheetName val="封面__(2)"/>
      <sheetName val="工程預算書__(2)"/>
      <sheetName val="單價分析表_(2)"/>
      <sheetName val="封面__(3)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資料"/>
      <sheetName val="空污費申報表"/>
      <sheetName val="計畫說明書"/>
      <sheetName val="預算書"/>
      <sheetName val="單價分析"/>
      <sheetName val="進度表"/>
      <sheetName val="單價計算"/>
      <sheetName val="計算乙表"/>
      <sheetName val="擋土牆數量"/>
      <sheetName val="統計表"/>
      <sheetName val="鋼筋計算(環村擋牆3.5-280) "/>
      <sheetName val="鋼筋計算(環村擋牆4.0-375)"/>
      <sheetName val="鋼筋計算(環村擋牆3.5-325)"/>
      <sheetName val="鋼筋計算(環村擋牆4.0-375) (2)"/>
      <sheetName val="鋼筋計算(環村擋牆4.5-409)"/>
      <sheetName val="鋼筋計算(環村擋牆3.0-291) "/>
      <sheetName val="鋼筋計算(環村擋牆3.0-187)"/>
      <sheetName val="鋼筋計算(環村擋牆3.5-212)"/>
      <sheetName val="鋼筋計算(環村擋牆3.0-254)"/>
      <sheetName val="鋼筋計算(環村擋牆3.0-161)"/>
      <sheetName val="鋼筋計算(環村擋牆3.0-079)"/>
      <sheetName val="鋼筋計算(環村擋牆3.0-165)"/>
      <sheetName val="鋼筋計算(支線擋牆4.75)"/>
      <sheetName val="鋼筋計算(樓梯擋牆3.0-250)"/>
      <sheetName val="鋼筋計算(台電電箱)"/>
      <sheetName val="計算表橫式(1)"/>
      <sheetName val="計算表橫式(2)"/>
      <sheetName val="常用單價分析"/>
      <sheetName val="潛壩安定檢算"/>
      <sheetName val="整流水理計算"/>
      <sheetName val="抽查紀錄表"/>
      <sheetName val="請款統計單"/>
      <sheetName val="請款單"/>
      <sheetName val="驗收證明"/>
      <sheetName val="驗收紀錄"/>
      <sheetName val="施工日誌"/>
      <sheetName val="工期核算表"/>
      <sheetName val="結算明細表"/>
      <sheetName val="變更紀錄"/>
      <sheetName val="變更設計說明書1"/>
      <sheetName val="預算變更1"/>
      <sheetName val="計算乙表變更1"/>
      <sheetName val="統計表變更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7">
          <cell r="S27">
            <v>1596.75</v>
          </cell>
        </row>
      </sheetData>
      <sheetData sheetId="12">
        <row r="27">
          <cell r="S27">
            <v>3920.11</v>
          </cell>
        </row>
      </sheetData>
      <sheetData sheetId="13">
        <row r="27">
          <cell r="S27">
            <v>4363.88</v>
          </cell>
        </row>
      </sheetData>
      <sheetData sheetId="14">
        <row r="27">
          <cell r="S27">
            <v>5255.28</v>
          </cell>
        </row>
      </sheetData>
      <sheetData sheetId="15">
        <row r="27">
          <cell r="S27">
            <v>2149.17</v>
          </cell>
        </row>
      </sheetData>
      <sheetData sheetId="16">
        <row r="27">
          <cell r="S27">
            <v>2959.28</v>
          </cell>
        </row>
      </sheetData>
      <sheetData sheetId="17">
        <row r="27">
          <cell r="S27">
            <v>1789.17</v>
          </cell>
        </row>
      </sheetData>
      <sheetData sheetId="18">
        <row r="27">
          <cell r="S27">
            <v>339.51</v>
          </cell>
        </row>
      </sheetData>
      <sheetData sheetId="19">
        <row r="27">
          <cell r="S27">
            <v>896.93</v>
          </cell>
        </row>
      </sheetData>
      <sheetData sheetId="20">
        <row r="27">
          <cell r="S27">
            <v>1645.35</v>
          </cell>
        </row>
      </sheetData>
      <sheetData sheetId="21">
        <row r="27">
          <cell r="S27">
            <v>3015.79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資料"/>
      <sheetName val="空污費申報表"/>
      <sheetName val="計畫說明書"/>
      <sheetName val="預算書"/>
      <sheetName val="單價分析"/>
      <sheetName val="進度表"/>
      <sheetName val="單價計算"/>
      <sheetName val="計算乙表"/>
      <sheetName val="擋土牆數量"/>
      <sheetName val="統計表"/>
      <sheetName val="鋼筋計算(環村擋牆3.5-280) "/>
      <sheetName val="鋼筋計算(環村擋牆4.0-375)"/>
      <sheetName val="鋼筋計算(環村擋牆3.5-325)"/>
      <sheetName val="鋼筋計算(環村擋牆4.0-375) (2)"/>
      <sheetName val="鋼筋計算(環村擋牆4.5-409)"/>
      <sheetName val="鋼筋計算(環村擋牆3.0-291) "/>
      <sheetName val="鋼筋計算(環村擋牆3.0-187)"/>
      <sheetName val="鋼筋計算(環村擋牆3.5-212)"/>
      <sheetName val="鋼筋計算(環村擋牆3.0-254)"/>
      <sheetName val="鋼筋計算(環村擋牆3.0-161)"/>
      <sheetName val="鋼筋計算(環村擋牆3.0-079)"/>
      <sheetName val="鋼筋計算(環村擋牆3.0-165)"/>
      <sheetName val="鋼筋計算(支線擋牆4.75)"/>
      <sheetName val="鋼筋計算(樓梯擋牆3.0-250)"/>
      <sheetName val="鋼筋計算(台電電箱)"/>
      <sheetName val="計算表橫式(1)"/>
      <sheetName val="計算表橫式(2)"/>
      <sheetName val="常用單價分析"/>
      <sheetName val="潛壩安定檢算"/>
      <sheetName val="整流水理計算"/>
      <sheetName val="抽查紀錄表"/>
      <sheetName val="請款統計單"/>
      <sheetName val="請款單"/>
      <sheetName val="驗收證明"/>
      <sheetName val="驗收紀錄"/>
      <sheetName val="施工日誌"/>
      <sheetName val="工期核算表"/>
      <sheetName val="結算明細表"/>
      <sheetName val="變更紀錄"/>
      <sheetName val="變更設計說明書1"/>
      <sheetName val="預算變更1"/>
      <sheetName val="計算乙表變更1"/>
      <sheetName val="統計表變更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7">
          <cell r="S27">
            <v>1596.75</v>
          </cell>
        </row>
      </sheetData>
      <sheetData sheetId="12">
        <row r="27">
          <cell r="S27">
            <v>3920.11</v>
          </cell>
        </row>
      </sheetData>
      <sheetData sheetId="13">
        <row r="27">
          <cell r="S27">
            <v>4363.88</v>
          </cell>
        </row>
      </sheetData>
      <sheetData sheetId="14">
        <row r="27">
          <cell r="S27">
            <v>5255.28</v>
          </cell>
        </row>
      </sheetData>
      <sheetData sheetId="15">
        <row r="27">
          <cell r="S27">
            <v>2149.17</v>
          </cell>
        </row>
      </sheetData>
      <sheetData sheetId="16">
        <row r="27">
          <cell r="S27">
            <v>2959.28</v>
          </cell>
        </row>
      </sheetData>
      <sheetData sheetId="17">
        <row r="27">
          <cell r="S27">
            <v>1789.17</v>
          </cell>
        </row>
      </sheetData>
      <sheetData sheetId="18">
        <row r="27">
          <cell r="S27">
            <v>339.51</v>
          </cell>
        </row>
      </sheetData>
      <sheetData sheetId="19">
        <row r="27">
          <cell r="S27">
            <v>896.93</v>
          </cell>
        </row>
      </sheetData>
      <sheetData sheetId="20">
        <row r="27">
          <cell r="S27">
            <v>1645.35</v>
          </cell>
        </row>
      </sheetData>
      <sheetData sheetId="21">
        <row r="27">
          <cell r="S27">
            <v>3015.79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程預算書"/>
      <sheetName val="預算書費率表"/>
      <sheetName val="數量總表"/>
      <sheetName val="預定進度表"/>
      <sheetName val="基本單價說明"/>
      <sheetName val="空白工程預算書 "/>
      <sheetName val="單價分析表(1-6) 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資料"/>
      <sheetName val="空污費申報表"/>
      <sheetName val="計畫說明書"/>
      <sheetName val="預算書"/>
      <sheetName val="單價分析"/>
      <sheetName val="進度表"/>
      <sheetName val="單價計算"/>
      <sheetName val="計算乙表"/>
      <sheetName val="擋土牆數量"/>
      <sheetName val="統計表"/>
      <sheetName val="鋼筋計算(環村擋牆3.5-280) "/>
      <sheetName val="鋼筋計算(環村擋牆4.0-375)"/>
      <sheetName val="鋼筋計算(環村擋牆3.5-325)"/>
      <sheetName val="鋼筋計算(環村擋牆4.0-375) (2)"/>
      <sheetName val="鋼筋計算(環村擋牆4.5-409)"/>
      <sheetName val="鋼筋計算(環村擋牆3.0-291) "/>
      <sheetName val="鋼筋計算(環村擋牆3.0-187)"/>
      <sheetName val="鋼筋計算(環村擋牆3.5-212)"/>
      <sheetName val="鋼筋計算(環村擋牆3.0-254)"/>
      <sheetName val="鋼筋計算(環村擋牆3.0-161)"/>
      <sheetName val="鋼筋計算(環村擋牆3.0-079)"/>
      <sheetName val="鋼筋計算(環村擋牆3.0-165)"/>
      <sheetName val="鋼筋計算(支線擋牆4.75)"/>
      <sheetName val="鋼筋計算(樓梯擋牆3.0-250)"/>
      <sheetName val="鋼筋計算(台電電箱)"/>
      <sheetName val="計算表橫式(1)"/>
      <sheetName val="計算表橫式(2)"/>
      <sheetName val="常用單價分析"/>
      <sheetName val="潛壩安定檢算"/>
      <sheetName val="整流水理計算"/>
      <sheetName val="抽查紀錄表"/>
      <sheetName val="請款統計單"/>
      <sheetName val="請款單"/>
      <sheetName val="驗收證明"/>
      <sheetName val="驗收紀錄"/>
      <sheetName val="施工日誌"/>
      <sheetName val="工期核算表"/>
      <sheetName val="結算明細表"/>
      <sheetName val="變更紀錄"/>
      <sheetName val="變更設計說明書1"/>
      <sheetName val="預算變更1"/>
      <sheetName val="計算乙表變更1"/>
      <sheetName val="統計表變更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7">
          <cell r="S27">
            <v>1596.75</v>
          </cell>
        </row>
      </sheetData>
      <sheetData sheetId="12">
        <row r="27">
          <cell r="S27">
            <v>3920.11</v>
          </cell>
        </row>
      </sheetData>
      <sheetData sheetId="13">
        <row r="27">
          <cell r="S27">
            <v>4363.88</v>
          </cell>
        </row>
      </sheetData>
      <sheetData sheetId="14">
        <row r="27">
          <cell r="S27">
            <v>5255.28</v>
          </cell>
        </row>
      </sheetData>
      <sheetData sheetId="15">
        <row r="27">
          <cell r="S27">
            <v>2149.17</v>
          </cell>
        </row>
      </sheetData>
      <sheetData sheetId="16">
        <row r="27">
          <cell r="S27">
            <v>2959.28</v>
          </cell>
        </row>
      </sheetData>
      <sheetData sheetId="17">
        <row r="27">
          <cell r="S27">
            <v>1789.17</v>
          </cell>
        </row>
      </sheetData>
      <sheetData sheetId="18">
        <row r="27">
          <cell r="S27">
            <v>339.51</v>
          </cell>
        </row>
      </sheetData>
      <sheetData sheetId="19">
        <row r="27">
          <cell r="S27">
            <v>896.93</v>
          </cell>
        </row>
      </sheetData>
      <sheetData sheetId="20">
        <row r="27">
          <cell r="S27">
            <v>1645.35</v>
          </cell>
        </row>
      </sheetData>
      <sheetData sheetId="21">
        <row r="27">
          <cell r="S27">
            <v>3015.79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資料庫"/>
      <sheetName val="工程預算書 "/>
      <sheetName val="變更設計"/>
      <sheetName val="工程預算書  (2)"/>
      <sheetName val="單價分析表"/>
      <sheetName val="單價分析表 (2)"/>
      <sheetName val="工程計算表"/>
      <sheetName val="數量計算表 "/>
      <sheetName val="數量計算表  (2)"/>
      <sheetName val="封面 "/>
      <sheetName val="封面  (2)"/>
      <sheetName val="工程預算書_"/>
      <sheetName val="工程預算書__(2)"/>
      <sheetName val="單價分析表_(2)"/>
      <sheetName val="數量計算表_"/>
      <sheetName val="數量計算表__(2)"/>
      <sheetName val="封面_"/>
      <sheetName val="封面__(2)"/>
      <sheetName val="鋼筋計算(環村擋牆3.0-079)"/>
      <sheetName val="鋼筋計算(環村擋牆3.0-165)"/>
      <sheetName val="鋼筋計算(環村擋牆3.5-212)"/>
      <sheetName val="鋼筋計算(環村擋牆3.0-254)"/>
      <sheetName val="鋼筋計算(環村擋牆3.0-161)"/>
      <sheetName val="鋼筋計算(環村擋牆4.0-375)"/>
      <sheetName val="鋼筋計算(環村擋牆3.5-325)"/>
      <sheetName val="鋼筋計算(環村擋牆4.0-375) (2)"/>
      <sheetName val="鋼筋計算(環村擋牆4.5-409)"/>
      <sheetName val="鋼筋計算(環村擋牆3.0-291) "/>
      <sheetName val="鋼筋計算(環村擋牆3.0-187)"/>
      <sheetName val="預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資料庫"/>
      <sheetName val="工程預算書 "/>
      <sheetName val="變更設計預算詳細表"/>
      <sheetName val="包商估價單"/>
      <sheetName val="工程計算表&lt;九椅&gt; "/>
      <sheetName val="工程計算表&lt;十五&gt;"/>
      <sheetName val="PC數量計算表&lt;九椅&gt;"/>
      <sheetName val="數量計算表 &lt;土&gt;九椅"/>
      <sheetName val="數量計算表 &lt;土&gt;十五"/>
      <sheetName val="PC數量計算表&lt;十五&gt;"/>
      <sheetName val="單價分析表"/>
      <sheetName val="證明書"/>
      <sheetName val="工程竣工"/>
      <sheetName val="結算明細表"/>
      <sheetName val="工程決算書"/>
      <sheetName val="驗收紀錄"/>
      <sheetName val="空污費"/>
      <sheetName val="工程計劃說明書 "/>
      <sheetName val="施工補充計劃書"/>
      <sheetName val="封面"/>
      <sheetName val="原 圖"/>
      <sheetName val="工程預算書_"/>
      <sheetName val="工程計算表&lt;九椅&gt;_"/>
      <sheetName val="數量計算表_&lt;土&gt;九椅"/>
      <sheetName val="數量計算表_&lt;土&gt;十五"/>
      <sheetName val="工程計劃說明書_"/>
      <sheetName val="原_圖"/>
    </sheetNames>
    <sheetDataSet>
      <sheetData sheetId="0"/>
      <sheetData sheetId="1" refreshError="1">
        <row r="64">
          <cell r="B64">
            <v>14</v>
          </cell>
          <cell r="C64" t="str">
            <v>交通安全設施及維持費</v>
          </cell>
        </row>
        <row r="65">
          <cell r="B65">
            <v>15</v>
          </cell>
          <cell r="C65" t="str">
            <v>勞工安全衛生設備費</v>
          </cell>
        </row>
        <row r="66">
          <cell r="B66">
            <v>16</v>
          </cell>
          <cell r="C66" t="str">
            <v>包商利潤</v>
          </cell>
        </row>
        <row r="67">
          <cell r="B67">
            <v>17</v>
          </cell>
          <cell r="C67" t="str">
            <v>包商營業稅</v>
          </cell>
        </row>
        <row r="68">
          <cell r="B68">
            <v>18</v>
          </cell>
          <cell r="C68" t="str">
            <v>營造綜合保險費</v>
          </cell>
        </row>
        <row r="69">
          <cell r="C69" t="str">
            <v>計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程預算書"/>
      <sheetName val="預算書費率表"/>
      <sheetName val="數量總表"/>
      <sheetName val="預定進度表"/>
      <sheetName val="基本單價說明"/>
      <sheetName val="空白工程預算書 "/>
      <sheetName val="單價分析表(1-6) 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水池總表"/>
      <sheetName val="計算工作表"/>
      <sheetName val="試驗"/>
      <sheetName val="表2-1"/>
      <sheetName val="表2-2"/>
      <sheetName val="圖2-1"/>
      <sheetName val="氣象(表3-1圖3-1~3)"/>
      <sheetName val="表3-2"/>
      <sheetName val="表3-3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水池總表"/>
      <sheetName val="計算工作表"/>
      <sheetName val="試驗"/>
      <sheetName val="表2-1"/>
      <sheetName val="表2-2"/>
      <sheetName val="圖2-1"/>
      <sheetName val="氣象(表3-1圖3-1~3)"/>
      <sheetName val="表3-2"/>
      <sheetName val="表3-3"/>
      <sheetName val="工程預算書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2"/>
  </sheetPr>
  <dimension ref="A3:C5"/>
  <sheetViews>
    <sheetView workbookViewId="0">
      <selection activeCell="A15" sqref="A15"/>
    </sheetView>
  </sheetViews>
  <sheetFormatPr defaultRowHeight="16.5"/>
  <cols>
    <col min="1" max="1" width="52.625" customWidth="1"/>
    <col min="2" max="2" width="22" customWidth="1"/>
  </cols>
  <sheetData>
    <row r="3" spans="1:3">
      <c r="A3" s="41" t="s">
        <v>154</v>
      </c>
    </row>
    <row r="4" spans="1:3">
      <c r="A4" t="s">
        <v>155</v>
      </c>
      <c r="B4" s="1"/>
      <c r="C4" s="2"/>
    </row>
    <row r="5" spans="1:3">
      <c r="A5" s="3" t="s">
        <v>1207</v>
      </c>
      <c r="B5" s="3"/>
    </row>
  </sheetData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27"/>
  <sheetViews>
    <sheetView zoomScale="85" zoomScaleNormal="85" workbookViewId="0">
      <selection activeCell="G26" sqref="G26"/>
    </sheetView>
  </sheetViews>
  <sheetFormatPr defaultColWidth="9.125" defaultRowHeight="15.75"/>
  <cols>
    <col min="1" max="1" width="7.5" style="50" customWidth="1"/>
    <col min="2" max="2" width="39.125" style="50" customWidth="1"/>
    <col min="3" max="3" width="7.625" style="50" customWidth="1"/>
    <col min="4" max="5" width="10.5" style="50" bestFit="1" customWidth="1"/>
    <col min="6" max="7" width="8.375" style="50" customWidth="1"/>
    <col min="8" max="9" width="7.75" style="50" customWidth="1"/>
    <col min="10" max="11" width="16.625" style="50" customWidth="1"/>
    <col min="12" max="13" width="15" style="50" customWidth="1"/>
    <col min="14" max="14" width="8.75" style="50" customWidth="1"/>
    <col min="15" max="15" width="13.5" style="50" bestFit="1" customWidth="1"/>
    <col min="16" max="16" width="20" style="50" customWidth="1"/>
    <col min="17" max="256" width="9.125" style="50"/>
    <col min="257" max="257" width="7.5" style="50" customWidth="1"/>
    <col min="258" max="258" width="30.625" style="50" customWidth="1"/>
    <col min="259" max="259" width="7.625" style="50" customWidth="1"/>
    <col min="260" max="261" width="10.5" style="50" bestFit="1" customWidth="1"/>
    <col min="262" max="263" width="7.875" style="50" customWidth="1"/>
    <col min="264" max="264" width="7.625" style="50" customWidth="1"/>
    <col min="265" max="265" width="8.625" style="50" customWidth="1"/>
    <col min="266" max="267" width="16.625" style="50" customWidth="1"/>
    <col min="268" max="268" width="14.875" style="50" bestFit="1" customWidth="1"/>
    <col min="269" max="269" width="15.625" style="50" customWidth="1"/>
    <col min="270" max="270" width="14.5" style="50" customWidth="1"/>
    <col min="271" max="271" width="13.5" style="50" bestFit="1" customWidth="1"/>
    <col min="272" max="272" width="20" style="50" customWidth="1"/>
    <col min="273" max="512" width="9.125" style="50"/>
    <col min="513" max="513" width="7.5" style="50" customWidth="1"/>
    <col min="514" max="514" width="30.625" style="50" customWidth="1"/>
    <col min="515" max="515" width="7.625" style="50" customWidth="1"/>
    <col min="516" max="517" width="10.5" style="50" bestFit="1" customWidth="1"/>
    <col min="518" max="519" width="7.875" style="50" customWidth="1"/>
    <col min="520" max="520" width="7.625" style="50" customWidth="1"/>
    <col min="521" max="521" width="8.625" style="50" customWidth="1"/>
    <col min="522" max="523" width="16.625" style="50" customWidth="1"/>
    <col min="524" max="524" width="14.875" style="50" bestFit="1" customWidth="1"/>
    <col min="525" max="525" width="15.625" style="50" customWidth="1"/>
    <col min="526" max="526" width="14.5" style="50" customWidth="1"/>
    <col min="527" max="527" width="13.5" style="50" bestFit="1" customWidth="1"/>
    <col min="528" max="528" width="20" style="50" customWidth="1"/>
    <col min="529" max="768" width="9.125" style="50"/>
    <col min="769" max="769" width="7.5" style="50" customWidth="1"/>
    <col min="770" max="770" width="30.625" style="50" customWidth="1"/>
    <col min="771" max="771" width="7.625" style="50" customWidth="1"/>
    <col min="772" max="773" width="10.5" style="50" bestFit="1" customWidth="1"/>
    <col min="774" max="775" width="7.875" style="50" customWidth="1"/>
    <col min="776" max="776" width="7.625" style="50" customWidth="1"/>
    <col min="777" max="777" width="8.625" style="50" customWidth="1"/>
    <col min="778" max="779" width="16.625" style="50" customWidth="1"/>
    <col min="780" max="780" width="14.875" style="50" bestFit="1" customWidth="1"/>
    <col min="781" max="781" width="15.625" style="50" customWidth="1"/>
    <col min="782" max="782" width="14.5" style="50" customWidth="1"/>
    <col min="783" max="783" width="13.5" style="50" bestFit="1" customWidth="1"/>
    <col min="784" max="784" width="20" style="50" customWidth="1"/>
    <col min="785" max="1024" width="9.125" style="50"/>
    <col min="1025" max="1025" width="7.5" style="50" customWidth="1"/>
    <col min="1026" max="1026" width="30.625" style="50" customWidth="1"/>
    <col min="1027" max="1027" width="7.625" style="50" customWidth="1"/>
    <col min="1028" max="1029" width="10.5" style="50" bestFit="1" customWidth="1"/>
    <col min="1030" max="1031" width="7.875" style="50" customWidth="1"/>
    <col min="1032" max="1032" width="7.625" style="50" customWidth="1"/>
    <col min="1033" max="1033" width="8.625" style="50" customWidth="1"/>
    <col min="1034" max="1035" width="16.625" style="50" customWidth="1"/>
    <col min="1036" max="1036" width="14.875" style="50" bestFit="1" customWidth="1"/>
    <col min="1037" max="1037" width="15.625" style="50" customWidth="1"/>
    <col min="1038" max="1038" width="14.5" style="50" customWidth="1"/>
    <col min="1039" max="1039" width="13.5" style="50" bestFit="1" customWidth="1"/>
    <col min="1040" max="1040" width="20" style="50" customWidth="1"/>
    <col min="1041" max="1280" width="9.125" style="50"/>
    <col min="1281" max="1281" width="7.5" style="50" customWidth="1"/>
    <col min="1282" max="1282" width="30.625" style="50" customWidth="1"/>
    <col min="1283" max="1283" width="7.625" style="50" customWidth="1"/>
    <col min="1284" max="1285" width="10.5" style="50" bestFit="1" customWidth="1"/>
    <col min="1286" max="1287" width="7.875" style="50" customWidth="1"/>
    <col min="1288" max="1288" width="7.625" style="50" customWidth="1"/>
    <col min="1289" max="1289" width="8.625" style="50" customWidth="1"/>
    <col min="1290" max="1291" width="16.625" style="50" customWidth="1"/>
    <col min="1292" max="1292" width="14.875" style="50" bestFit="1" customWidth="1"/>
    <col min="1293" max="1293" width="15.625" style="50" customWidth="1"/>
    <col min="1294" max="1294" width="14.5" style="50" customWidth="1"/>
    <col min="1295" max="1295" width="13.5" style="50" bestFit="1" customWidth="1"/>
    <col min="1296" max="1296" width="20" style="50" customWidth="1"/>
    <col min="1297" max="1536" width="9.125" style="50"/>
    <col min="1537" max="1537" width="7.5" style="50" customWidth="1"/>
    <col min="1538" max="1538" width="30.625" style="50" customWidth="1"/>
    <col min="1539" max="1539" width="7.625" style="50" customWidth="1"/>
    <col min="1540" max="1541" width="10.5" style="50" bestFit="1" customWidth="1"/>
    <col min="1542" max="1543" width="7.875" style="50" customWidth="1"/>
    <col min="1544" max="1544" width="7.625" style="50" customWidth="1"/>
    <col min="1545" max="1545" width="8.625" style="50" customWidth="1"/>
    <col min="1546" max="1547" width="16.625" style="50" customWidth="1"/>
    <col min="1548" max="1548" width="14.875" style="50" bestFit="1" customWidth="1"/>
    <col min="1549" max="1549" width="15.625" style="50" customWidth="1"/>
    <col min="1550" max="1550" width="14.5" style="50" customWidth="1"/>
    <col min="1551" max="1551" width="13.5" style="50" bestFit="1" customWidth="1"/>
    <col min="1552" max="1552" width="20" style="50" customWidth="1"/>
    <col min="1553" max="1792" width="9.125" style="50"/>
    <col min="1793" max="1793" width="7.5" style="50" customWidth="1"/>
    <col min="1794" max="1794" width="30.625" style="50" customWidth="1"/>
    <col min="1795" max="1795" width="7.625" style="50" customWidth="1"/>
    <col min="1796" max="1797" width="10.5" style="50" bestFit="1" customWidth="1"/>
    <col min="1798" max="1799" width="7.875" style="50" customWidth="1"/>
    <col min="1800" max="1800" width="7.625" style="50" customWidth="1"/>
    <col min="1801" max="1801" width="8.625" style="50" customWidth="1"/>
    <col min="1802" max="1803" width="16.625" style="50" customWidth="1"/>
    <col min="1804" max="1804" width="14.875" style="50" bestFit="1" customWidth="1"/>
    <col min="1805" max="1805" width="15.625" style="50" customWidth="1"/>
    <col min="1806" max="1806" width="14.5" style="50" customWidth="1"/>
    <col min="1807" max="1807" width="13.5" style="50" bestFit="1" customWidth="1"/>
    <col min="1808" max="1808" width="20" style="50" customWidth="1"/>
    <col min="1809" max="2048" width="9.125" style="50"/>
    <col min="2049" max="2049" width="7.5" style="50" customWidth="1"/>
    <col min="2050" max="2050" width="30.625" style="50" customWidth="1"/>
    <col min="2051" max="2051" width="7.625" style="50" customWidth="1"/>
    <col min="2052" max="2053" width="10.5" style="50" bestFit="1" customWidth="1"/>
    <col min="2054" max="2055" width="7.875" style="50" customWidth="1"/>
    <col min="2056" max="2056" width="7.625" style="50" customWidth="1"/>
    <col min="2057" max="2057" width="8.625" style="50" customWidth="1"/>
    <col min="2058" max="2059" width="16.625" style="50" customWidth="1"/>
    <col min="2060" max="2060" width="14.875" style="50" bestFit="1" customWidth="1"/>
    <col min="2061" max="2061" width="15.625" style="50" customWidth="1"/>
    <col min="2062" max="2062" width="14.5" style="50" customWidth="1"/>
    <col min="2063" max="2063" width="13.5" style="50" bestFit="1" customWidth="1"/>
    <col min="2064" max="2064" width="20" style="50" customWidth="1"/>
    <col min="2065" max="2304" width="9.125" style="50"/>
    <col min="2305" max="2305" width="7.5" style="50" customWidth="1"/>
    <col min="2306" max="2306" width="30.625" style="50" customWidth="1"/>
    <col min="2307" max="2307" width="7.625" style="50" customWidth="1"/>
    <col min="2308" max="2309" width="10.5" style="50" bestFit="1" customWidth="1"/>
    <col min="2310" max="2311" width="7.875" style="50" customWidth="1"/>
    <col min="2312" max="2312" width="7.625" style="50" customWidth="1"/>
    <col min="2313" max="2313" width="8.625" style="50" customWidth="1"/>
    <col min="2314" max="2315" width="16.625" style="50" customWidth="1"/>
    <col min="2316" max="2316" width="14.875" style="50" bestFit="1" customWidth="1"/>
    <col min="2317" max="2317" width="15.625" style="50" customWidth="1"/>
    <col min="2318" max="2318" width="14.5" style="50" customWidth="1"/>
    <col min="2319" max="2319" width="13.5" style="50" bestFit="1" customWidth="1"/>
    <col min="2320" max="2320" width="20" style="50" customWidth="1"/>
    <col min="2321" max="2560" width="9.125" style="50"/>
    <col min="2561" max="2561" width="7.5" style="50" customWidth="1"/>
    <col min="2562" max="2562" width="30.625" style="50" customWidth="1"/>
    <col min="2563" max="2563" width="7.625" style="50" customWidth="1"/>
    <col min="2564" max="2565" width="10.5" style="50" bestFit="1" customWidth="1"/>
    <col min="2566" max="2567" width="7.875" style="50" customWidth="1"/>
    <col min="2568" max="2568" width="7.625" style="50" customWidth="1"/>
    <col min="2569" max="2569" width="8.625" style="50" customWidth="1"/>
    <col min="2570" max="2571" width="16.625" style="50" customWidth="1"/>
    <col min="2572" max="2572" width="14.875" style="50" bestFit="1" customWidth="1"/>
    <col min="2573" max="2573" width="15.625" style="50" customWidth="1"/>
    <col min="2574" max="2574" width="14.5" style="50" customWidth="1"/>
    <col min="2575" max="2575" width="13.5" style="50" bestFit="1" customWidth="1"/>
    <col min="2576" max="2576" width="20" style="50" customWidth="1"/>
    <col min="2577" max="2816" width="9.125" style="50"/>
    <col min="2817" max="2817" width="7.5" style="50" customWidth="1"/>
    <col min="2818" max="2818" width="30.625" style="50" customWidth="1"/>
    <col min="2819" max="2819" width="7.625" style="50" customWidth="1"/>
    <col min="2820" max="2821" width="10.5" style="50" bestFit="1" customWidth="1"/>
    <col min="2822" max="2823" width="7.875" style="50" customWidth="1"/>
    <col min="2824" max="2824" width="7.625" style="50" customWidth="1"/>
    <col min="2825" max="2825" width="8.625" style="50" customWidth="1"/>
    <col min="2826" max="2827" width="16.625" style="50" customWidth="1"/>
    <col min="2828" max="2828" width="14.875" style="50" bestFit="1" customWidth="1"/>
    <col min="2829" max="2829" width="15.625" style="50" customWidth="1"/>
    <col min="2830" max="2830" width="14.5" style="50" customWidth="1"/>
    <col min="2831" max="2831" width="13.5" style="50" bestFit="1" customWidth="1"/>
    <col min="2832" max="2832" width="20" style="50" customWidth="1"/>
    <col min="2833" max="3072" width="9.125" style="50"/>
    <col min="3073" max="3073" width="7.5" style="50" customWidth="1"/>
    <col min="3074" max="3074" width="30.625" style="50" customWidth="1"/>
    <col min="3075" max="3075" width="7.625" style="50" customWidth="1"/>
    <col min="3076" max="3077" width="10.5" style="50" bestFit="1" customWidth="1"/>
    <col min="3078" max="3079" width="7.875" style="50" customWidth="1"/>
    <col min="3080" max="3080" width="7.625" style="50" customWidth="1"/>
    <col min="3081" max="3081" width="8.625" style="50" customWidth="1"/>
    <col min="3082" max="3083" width="16.625" style="50" customWidth="1"/>
    <col min="3084" max="3084" width="14.875" style="50" bestFit="1" customWidth="1"/>
    <col min="3085" max="3085" width="15.625" style="50" customWidth="1"/>
    <col min="3086" max="3086" width="14.5" style="50" customWidth="1"/>
    <col min="3087" max="3087" width="13.5" style="50" bestFit="1" customWidth="1"/>
    <col min="3088" max="3088" width="20" style="50" customWidth="1"/>
    <col min="3089" max="3328" width="9.125" style="50"/>
    <col min="3329" max="3329" width="7.5" style="50" customWidth="1"/>
    <col min="3330" max="3330" width="30.625" style="50" customWidth="1"/>
    <col min="3331" max="3331" width="7.625" style="50" customWidth="1"/>
    <col min="3332" max="3333" width="10.5" style="50" bestFit="1" customWidth="1"/>
    <col min="3334" max="3335" width="7.875" style="50" customWidth="1"/>
    <col min="3336" max="3336" width="7.625" style="50" customWidth="1"/>
    <col min="3337" max="3337" width="8.625" style="50" customWidth="1"/>
    <col min="3338" max="3339" width="16.625" style="50" customWidth="1"/>
    <col min="3340" max="3340" width="14.875" style="50" bestFit="1" customWidth="1"/>
    <col min="3341" max="3341" width="15.625" style="50" customWidth="1"/>
    <col min="3342" max="3342" width="14.5" style="50" customWidth="1"/>
    <col min="3343" max="3343" width="13.5" style="50" bestFit="1" customWidth="1"/>
    <col min="3344" max="3344" width="20" style="50" customWidth="1"/>
    <col min="3345" max="3584" width="9.125" style="50"/>
    <col min="3585" max="3585" width="7.5" style="50" customWidth="1"/>
    <col min="3586" max="3586" width="30.625" style="50" customWidth="1"/>
    <col min="3587" max="3587" width="7.625" style="50" customWidth="1"/>
    <col min="3588" max="3589" width="10.5" style="50" bestFit="1" customWidth="1"/>
    <col min="3590" max="3591" width="7.875" style="50" customWidth="1"/>
    <col min="3592" max="3592" width="7.625" style="50" customWidth="1"/>
    <col min="3593" max="3593" width="8.625" style="50" customWidth="1"/>
    <col min="3594" max="3595" width="16.625" style="50" customWidth="1"/>
    <col min="3596" max="3596" width="14.875" style="50" bestFit="1" customWidth="1"/>
    <col min="3597" max="3597" width="15.625" style="50" customWidth="1"/>
    <col min="3598" max="3598" width="14.5" style="50" customWidth="1"/>
    <col min="3599" max="3599" width="13.5" style="50" bestFit="1" customWidth="1"/>
    <col min="3600" max="3600" width="20" style="50" customWidth="1"/>
    <col min="3601" max="3840" width="9.125" style="50"/>
    <col min="3841" max="3841" width="7.5" style="50" customWidth="1"/>
    <col min="3842" max="3842" width="30.625" style="50" customWidth="1"/>
    <col min="3843" max="3843" width="7.625" style="50" customWidth="1"/>
    <col min="3844" max="3845" width="10.5" style="50" bestFit="1" customWidth="1"/>
    <col min="3846" max="3847" width="7.875" style="50" customWidth="1"/>
    <col min="3848" max="3848" width="7.625" style="50" customWidth="1"/>
    <col min="3849" max="3849" width="8.625" style="50" customWidth="1"/>
    <col min="3850" max="3851" width="16.625" style="50" customWidth="1"/>
    <col min="3852" max="3852" width="14.875" style="50" bestFit="1" customWidth="1"/>
    <col min="3853" max="3853" width="15.625" style="50" customWidth="1"/>
    <col min="3854" max="3854" width="14.5" style="50" customWidth="1"/>
    <col min="3855" max="3855" width="13.5" style="50" bestFit="1" customWidth="1"/>
    <col min="3856" max="3856" width="20" style="50" customWidth="1"/>
    <col min="3857" max="4096" width="9.125" style="50"/>
    <col min="4097" max="4097" width="7.5" style="50" customWidth="1"/>
    <col min="4098" max="4098" width="30.625" style="50" customWidth="1"/>
    <col min="4099" max="4099" width="7.625" style="50" customWidth="1"/>
    <col min="4100" max="4101" width="10.5" style="50" bestFit="1" customWidth="1"/>
    <col min="4102" max="4103" width="7.875" style="50" customWidth="1"/>
    <col min="4104" max="4104" width="7.625" style="50" customWidth="1"/>
    <col min="4105" max="4105" width="8.625" style="50" customWidth="1"/>
    <col min="4106" max="4107" width="16.625" style="50" customWidth="1"/>
    <col min="4108" max="4108" width="14.875" style="50" bestFit="1" customWidth="1"/>
    <col min="4109" max="4109" width="15.625" style="50" customWidth="1"/>
    <col min="4110" max="4110" width="14.5" style="50" customWidth="1"/>
    <col min="4111" max="4111" width="13.5" style="50" bestFit="1" customWidth="1"/>
    <col min="4112" max="4112" width="20" style="50" customWidth="1"/>
    <col min="4113" max="4352" width="9.125" style="50"/>
    <col min="4353" max="4353" width="7.5" style="50" customWidth="1"/>
    <col min="4354" max="4354" width="30.625" style="50" customWidth="1"/>
    <col min="4355" max="4355" width="7.625" style="50" customWidth="1"/>
    <col min="4356" max="4357" width="10.5" style="50" bestFit="1" customWidth="1"/>
    <col min="4358" max="4359" width="7.875" style="50" customWidth="1"/>
    <col min="4360" max="4360" width="7.625" style="50" customWidth="1"/>
    <col min="4361" max="4361" width="8.625" style="50" customWidth="1"/>
    <col min="4362" max="4363" width="16.625" style="50" customWidth="1"/>
    <col min="4364" max="4364" width="14.875" style="50" bestFit="1" customWidth="1"/>
    <col min="4365" max="4365" width="15.625" style="50" customWidth="1"/>
    <col min="4366" max="4366" width="14.5" style="50" customWidth="1"/>
    <col min="4367" max="4367" width="13.5" style="50" bestFit="1" customWidth="1"/>
    <col min="4368" max="4368" width="20" style="50" customWidth="1"/>
    <col min="4369" max="4608" width="9.125" style="50"/>
    <col min="4609" max="4609" width="7.5" style="50" customWidth="1"/>
    <col min="4610" max="4610" width="30.625" style="50" customWidth="1"/>
    <col min="4611" max="4611" width="7.625" style="50" customWidth="1"/>
    <col min="4612" max="4613" width="10.5" style="50" bestFit="1" customWidth="1"/>
    <col min="4614" max="4615" width="7.875" style="50" customWidth="1"/>
    <col min="4616" max="4616" width="7.625" style="50" customWidth="1"/>
    <col min="4617" max="4617" width="8.625" style="50" customWidth="1"/>
    <col min="4618" max="4619" width="16.625" style="50" customWidth="1"/>
    <col min="4620" max="4620" width="14.875" style="50" bestFit="1" customWidth="1"/>
    <col min="4621" max="4621" width="15.625" style="50" customWidth="1"/>
    <col min="4622" max="4622" width="14.5" style="50" customWidth="1"/>
    <col min="4623" max="4623" width="13.5" style="50" bestFit="1" customWidth="1"/>
    <col min="4624" max="4624" width="20" style="50" customWidth="1"/>
    <col min="4625" max="4864" width="9.125" style="50"/>
    <col min="4865" max="4865" width="7.5" style="50" customWidth="1"/>
    <col min="4866" max="4866" width="30.625" style="50" customWidth="1"/>
    <col min="4867" max="4867" width="7.625" style="50" customWidth="1"/>
    <col min="4868" max="4869" width="10.5" style="50" bestFit="1" customWidth="1"/>
    <col min="4870" max="4871" width="7.875" style="50" customWidth="1"/>
    <col min="4872" max="4872" width="7.625" style="50" customWidth="1"/>
    <col min="4873" max="4873" width="8.625" style="50" customWidth="1"/>
    <col min="4874" max="4875" width="16.625" style="50" customWidth="1"/>
    <col min="4876" max="4876" width="14.875" style="50" bestFit="1" customWidth="1"/>
    <col min="4877" max="4877" width="15.625" style="50" customWidth="1"/>
    <col min="4878" max="4878" width="14.5" style="50" customWidth="1"/>
    <col min="4879" max="4879" width="13.5" style="50" bestFit="1" customWidth="1"/>
    <col min="4880" max="4880" width="20" style="50" customWidth="1"/>
    <col min="4881" max="5120" width="9.125" style="50"/>
    <col min="5121" max="5121" width="7.5" style="50" customWidth="1"/>
    <col min="5122" max="5122" width="30.625" style="50" customWidth="1"/>
    <col min="5123" max="5123" width="7.625" style="50" customWidth="1"/>
    <col min="5124" max="5125" width="10.5" style="50" bestFit="1" customWidth="1"/>
    <col min="5126" max="5127" width="7.875" style="50" customWidth="1"/>
    <col min="5128" max="5128" width="7.625" style="50" customWidth="1"/>
    <col min="5129" max="5129" width="8.625" style="50" customWidth="1"/>
    <col min="5130" max="5131" width="16.625" style="50" customWidth="1"/>
    <col min="5132" max="5132" width="14.875" style="50" bestFit="1" customWidth="1"/>
    <col min="5133" max="5133" width="15.625" style="50" customWidth="1"/>
    <col min="5134" max="5134" width="14.5" style="50" customWidth="1"/>
    <col min="5135" max="5135" width="13.5" style="50" bestFit="1" customWidth="1"/>
    <col min="5136" max="5136" width="20" style="50" customWidth="1"/>
    <col min="5137" max="5376" width="9.125" style="50"/>
    <col min="5377" max="5377" width="7.5" style="50" customWidth="1"/>
    <col min="5378" max="5378" width="30.625" style="50" customWidth="1"/>
    <col min="5379" max="5379" width="7.625" style="50" customWidth="1"/>
    <col min="5380" max="5381" width="10.5" style="50" bestFit="1" customWidth="1"/>
    <col min="5382" max="5383" width="7.875" style="50" customWidth="1"/>
    <col min="5384" max="5384" width="7.625" style="50" customWidth="1"/>
    <col min="5385" max="5385" width="8.625" style="50" customWidth="1"/>
    <col min="5386" max="5387" width="16.625" style="50" customWidth="1"/>
    <col min="5388" max="5388" width="14.875" style="50" bestFit="1" customWidth="1"/>
    <col min="5389" max="5389" width="15.625" style="50" customWidth="1"/>
    <col min="5390" max="5390" width="14.5" style="50" customWidth="1"/>
    <col min="5391" max="5391" width="13.5" style="50" bestFit="1" customWidth="1"/>
    <col min="5392" max="5392" width="20" style="50" customWidth="1"/>
    <col min="5393" max="5632" width="9.125" style="50"/>
    <col min="5633" max="5633" width="7.5" style="50" customWidth="1"/>
    <col min="5634" max="5634" width="30.625" style="50" customWidth="1"/>
    <col min="5635" max="5635" width="7.625" style="50" customWidth="1"/>
    <col min="5636" max="5637" width="10.5" style="50" bestFit="1" customWidth="1"/>
    <col min="5638" max="5639" width="7.875" style="50" customWidth="1"/>
    <col min="5640" max="5640" width="7.625" style="50" customWidth="1"/>
    <col min="5641" max="5641" width="8.625" style="50" customWidth="1"/>
    <col min="5642" max="5643" width="16.625" style="50" customWidth="1"/>
    <col min="5644" max="5644" width="14.875" style="50" bestFit="1" customWidth="1"/>
    <col min="5645" max="5645" width="15.625" style="50" customWidth="1"/>
    <col min="5646" max="5646" width="14.5" style="50" customWidth="1"/>
    <col min="5647" max="5647" width="13.5" style="50" bestFit="1" customWidth="1"/>
    <col min="5648" max="5648" width="20" style="50" customWidth="1"/>
    <col min="5649" max="5888" width="9.125" style="50"/>
    <col min="5889" max="5889" width="7.5" style="50" customWidth="1"/>
    <col min="5890" max="5890" width="30.625" style="50" customWidth="1"/>
    <col min="5891" max="5891" width="7.625" style="50" customWidth="1"/>
    <col min="5892" max="5893" width="10.5" style="50" bestFit="1" customWidth="1"/>
    <col min="5894" max="5895" width="7.875" style="50" customWidth="1"/>
    <col min="5896" max="5896" width="7.625" style="50" customWidth="1"/>
    <col min="5897" max="5897" width="8.625" style="50" customWidth="1"/>
    <col min="5898" max="5899" width="16.625" style="50" customWidth="1"/>
    <col min="5900" max="5900" width="14.875" style="50" bestFit="1" customWidth="1"/>
    <col min="5901" max="5901" width="15.625" style="50" customWidth="1"/>
    <col min="5902" max="5902" width="14.5" style="50" customWidth="1"/>
    <col min="5903" max="5903" width="13.5" style="50" bestFit="1" customWidth="1"/>
    <col min="5904" max="5904" width="20" style="50" customWidth="1"/>
    <col min="5905" max="6144" width="9.125" style="50"/>
    <col min="6145" max="6145" width="7.5" style="50" customWidth="1"/>
    <col min="6146" max="6146" width="30.625" style="50" customWidth="1"/>
    <col min="6147" max="6147" width="7.625" style="50" customWidth="1"/>
    <col min="6148" max="6149" width="10.5" style="50" bestFit="1" customWidth="1"/>
    <col min="6150" max="6151" width="7.875" style="50" customWidth="1"/>
    <col min="6152" max="6152" width="7.625" style="50" customWidth="1"/>
    <col min="6153" max="6153" width="8.625" style="50" customWidth="1"/>
    <col min="6154" max="6155" width="16.625" style="50" customWidth="1"/>
    <col min="6156" max="6156" width="14.875" style="50" bestFit="1" customWidth="1"/>
    <col min="6157" max="6157" width="15.625" style="50" customWidth="1"/>
    <col min="6158" max="6158" width="14.5" style="50" customWidth="1"/>
    <col min="6159" max="6159" width="13.5" style="50" bestFit="1" customWidth="1"/>
    <col min="6160" max="6160" width="20" style="50" customWidth="1"/>
    <col min="6161" max="6400" width="9.125" style="50"/>
    <col min="6401" max="6401" width="7.5" style="50" customWidth="1"/>
    <col min="6402" max="6402" width="30.625" style="50" customWidth="1"/>
    <col min="6403" max="6403" width="7.625" style="50" customWidth="1"/>
    <col min="6404" max="6405" width="10.5" style="50" bestFit="1" customWidth="1"/>
    <col min="6406" max="6407" width="7.875" style="50" customWidth="1"/>
    <col min="6408" max="6408" width="7.625" style="50" customWidth="1"/>
    <col min="6409" max="6409" width="8.625" style="50" customWidth="1"/>
    <col min="6410" max="6411" width="16.625" style="50" customWidth="1"/>
    <col min="6412" max="6412" width="14.875" style="50" bestFit="1" customWidth="1"/>
    <col min="6413" max="6413" width="15.625" style="50" customWidth="1"/>
    <col min="6414" max="6414" width="14.5" style="50" customWidth="1"/>
    <col min="6415" max="6415" width="13.5" style="50" bestFit="1" customWidth="1"/>
    <col min="6416" max="6416" width="20" style="50" customWidth="1"/>
    <col min="6417" max="6656" width="9.125" style="50"/>
    <col min="6657" max="6657" width="7.5" style="50" customWidth="1"/>
    <col min="6658" max="6658" width="30.625" style="50" customWidth="1"/>
    <col min="6659" max="6659" width="7.625" style="50" customWidth="1"/>
    <col min="6660" max="6661" width="10.5" style="50" bestFit="1" customWidth="1"/>
    <col min="6662" max="6663" width="7.875" style="50" customWidth="1"/>
    <col min="6664" max="6664" width="7.625" style="50" customWidth="1"/>
    <col min="6665" max="6665" width="8.625" style="50" customWidth="1"/>
    <col min="6666" max="6667" width="16.625" style="50" customWidth="1"/>
    <col min="6668" max="6668" width="14.875" style="50" bestFit="1" customWidth="1"/>
    <col min="6669" max="6669" width="15.625" style="50" customWidth="1"/>
    <col min="6670" max="6670" width="14.5" style="50" customWidth="1"/>
    <col min="6671" max="6671" width="13.5" style="50" bestFit="1" customWidth="1"/>
    <col min="6672" max="6672" width="20" style="50" customWidth="1"/>
    <col min="6673" max="6912" width="9.125" style="50"/>
    <col min="6913" max="6913" width="7.5" style="50" customWidth="1"/>
    <col min="6914" max="6914" width="30.625" style="50" customWidth="1"/>
    <col min="6915" max="6915" width="7.625" style="50" customWidth="1"/>
    <col min="6916" max="6917" width="10.5" style="50" bestFit="1" customWidth="1"/>
    <col min="6918" max="6919" width="7.875" style="50" customWidth="1"/>
    <col min="6920" max="6920" width="7.625" style="50" customWidth="1"/>
    <col min="6921" max="6921" width="8.625" style="50" customWidth="1"/>
    <col min="6922" max="6923" width="16.625" style="50" customWidth="1"/>
    <col min="6924" max="6924" width="14.875" style="50" bestFit="1" customWidth="1"/>
    <col min="6925" max="6925" width="15.625" style="50" customWidth="1"/>
    <col min="6926" max="6926" width="14.5" style="50" customWidth="1"/>
    <col min="6927" max="6927" width="13.5" style="50" bestFit="1" customWidth="1"/>
    <col min="6928" max="6928" width="20" style="50" customWidth="1"/>
    <col min="6929" max="7168" width="9.125" style="50"/>
    <col min="7169" max="7169" width="7.5" style="50" customWidth="1"/>
    <col min="7170" max="7170" width="30.625" style="50" customWidth="1"/>
    <col min="7171" max="7171" width="7.625" style="50" customWidth="1"/>
    <col min="7172" max="7173" width="10.5" style="50" bestFit="1" customWidth="1"/>
    <col min="7174" max="7175" width="7.875" style="50" customWidth="1"/>
    <col min="7176" max="7176" width="7.625" style="50" customWidth="1"/>
    <col min="7177" max="7177" width="8.625" style="50" customWidth="1"/>
    <col min="7178" max="7179" width="16.625" style="50" customWidth="1"/>
    <col min="7180" max="7180" width="14.875" style="50" bestFit="1" customWidth="1"/>
    <col min="7181" max="7181" width="15.625" style="50" customWidth="1"/>
    <col min="7182" max="7182" width="14.5" style="50" customWidth="1"/>
    <col min="7183" max="7183" width="13.5" style="50" bestFit="1" customWidth="1"/>
    <col min="7184" max="7184" width="20" style="50" customWidth="1"/>
    <col min="7185" max="7424" width="9.125" style="50"/>
    <col min="7425" max="7425" width="7.5" style="50" customWidth="1"/>
    <col min="7426" max="7426" width="30.625" style="50" customWidth="1"/>
    <col min="7427" max="7427" width="7.625" style="50" customWidth="1"/>
    <col min="7428" max="7429" width="10.5" style="50" bestFit="1" customWidth="1"/>
    <col min="7430" max="7431" width="7.875" style="50" customWidth="1"/>
    <col min="7432" max="7432" width="7.625" style="50" customWidth="1"/>
    <col min="7433" max="7433" width="8.625" style="50" customWidth="1"/>
    <col min="7434" max="7435" width="16.625" style="50" customWidth="1"/>
    <col min="7436" max="7436" width="14.875" style="50" bestFit="1" customWidth="1"/>
    <col min="7437" max="7437" width="15.625" style="50" customWidth="1"/>
    <col min="7438" max="7438" width="14.5" style="50" customWidth="1"/>
    <col min="7439" max="7439" width="13.5" style="50" bestFit="1" customWidth="1"/>
    <col min="7440" max="7440" width="20" style="50" customWidth="1"/>
    <col min="7441" max="7680" width="9.125" style="50"/>
    <col min="7681" max="7681" width="7.5" style="50" customWidth="1"/>
    <col min="7682" max="7682" width="30.625" style="50" customWidth="1"/>
    <col min="7683" max="7683" width="7.625" style="50" customWidth="1"/>
    <col min="7684" max="7685" width="10.5" style="50" bestFit="1" customWidth="1"/>
    <col min="7686" max="7687" width="7.875" style="50" customWidth="1"/>
    <col min="7688" max="7688" width="7.625" style="50" customWidth="1"/>
    <col min="7689" max="7689" width="8.625" style="50" customWidth="1"/>
    <col min="7690" max="7691" width="16.625" style="50" customWidth="1"/>
    <col min="7692" max="7692" width="14.875" style="50" bestFit="1" customWidth="1"/>
    <col min="7693" max="7693" width="15.625" style="50" customWidth="1"/>
    <col min="7694" max="7694" width="14.5" style="50" customWidth="1"/>
    <col min="7695" max="7695" width="13.5" style="50" bestFit="1" customWidth="1"/>
    <col min="7696" max="7696" width="20" style="50" customWidth="1"/>
    <col min="7697" max="7936" width="9.125" style="50"/>
    <col min="7937" max="7937" width="7.5" style="50" customWidth="1"/>
    <col min="7938" max="7938" width="30.625" style="50" customWidth="1"/>
    <col min="7939" max="7939" width="7.625" style="50" customWidth="1"/>
    <col min="7940" max="7941" width="10.5" style="50" bestFit="1" customWidth="1"/>
    <col min="7942" max="7943" width="7.875" style="50" customWidth="1"/>
    <col min="7944" max="7944" width="7.625" style="50" customWidth="1"/>
    <col min="7945" max="7945" width="8.625" style="50" customWidth="1"/>
    <col min="7946" max="7947" width="16.625" style="50" customWidth="1"/>
    <col min="7948" max="7948" width="14.875" style="50" bestFit="1" customWidth="1"/>
    <col min="7949" max="7949" width="15.625" style="50" customWidth="1"/>
    <col min="7950" max="7950" width="14.5" style="50" customWidth="1"/>
    <col min="7951" max="7951" width="13.5" style="50" bestFit="1" customWidth="1"/>
    <col min="7952" max="7952" width="20" style="50" customWidth="1"/>
    <col min="7953" max="8192" width="9.125" style="50"/>
    <col min="8193" max="8193" width="7.5" style="50" customWidth="1"/>
    <col min="8194" max="8194" width="30.625" style="50" customWidth="1"/>
    <col min="8195" max="8195" width="7.625" style="50" customWidth="1"/>
    <col min="8196" max="8197" width="10.5" style="50" bestFit="1" customWidth="1"/>
    <col min="8198" max="8199" width="7.875" style="50" customWidth="1"/>
    <col min="8200" max="8200" width="7.625" style="50" customWidth="1"/>
    <col min="8201" max="8201" width="8.625" style="50" customWidth="1"/>
    <col min="8202" max="8203" width="16.625" style="50" customWidth="1"/>
    <col min="8204" max="8204" width="14.875" style="50" bestFit="1" customWidth="1"/>
    <col min="8205" max="8205" width="15.625" style="50" customWidth="1"/>
    <col min="8206" max="8206" width="14.5" style="50" customWidth="1"/>
    <col min="8207" max="8207" width="13.5" style="50" bestFit="1" customWidth="1"/>
    <col min="8208" max="8208" width="20" style="50" customWidth="1"/>
    <col min="8209" max="8448" width="9.125" style="50"/>
    <col min="8449" max="8449" width="7.5" style="50" customWidth="1"/>
    <col min="8450" max="8450" width="30.625" style="50" customWidth="1"/>
    <col min="8451" max="8451" width="7.625" style="50" customWidth="1"/>
    <col min="8452" max="8453" width="10.5" style="50" bestFit="1" customWidth="1"/>
    <col min="8454" max="8455" width="7.875" style="50" customWidth="1"/>
    <col min="8456" max="8456" width="7.625" style="50" customWidth="1"/>
    <col min="8457" max="8457" width="8.625" style="50" customWidth="1"/>
    <col min="8458" max="8459" width="16.625" style="50" customWidth="1"/>
    <col min="8460" max="8460" width="14.875" style="50" bestFit="1" customWidth="1"/>
    <col min="8461" max="8461" width="15.625" style="50" customWidth="1"/>
    <col min="8462" max="8462" width="14.5" style="50" customWidth="1"/>
    <col min="8463" max="8463" width="13.5" style="50" bestFit="1" customWidth="1"/>
    <col min="8464" max="8464" width="20" style="50" customWidth="1"/>
    <col min="8465" max="8704" width="9.125" style="50"/>
    <col min="8705" max="8705" width="7.5" style="50" customWidth="1"/>
    <col min="8706" max="8706" width="30.625" style="50" customWidth="1"/>
    <col min="8707" max="8707" width="7.625" style="50" customWidth="1"/>
    <col min="8708" max="8709" width="10.5" style="50" bestFit="1" customWidth="1"/>
    <col min="8710" max="8711" width="7.875" style="50" customWidth="1"/>
    <col min="8712" max="8712" width="7.625" style="50" customWidth="1"/>
    <col min="8713" max="8713" width="8.625" style="50" customWidth="1"/>
    <col min="8714" max="8715" width="16.625" style="50" customWidth="1"/>
    <col min="8716" max="8716" width="14.875" style="50" bestFit="1" customWidth="1"/>
    <col min="8717" max="8717" width="15.625" style="50" customWidth="1"/>
    <col min="8718" max="8718" width="14.5" style="50" customWidth="1"/>
    <col min="8719" max="8719" width="13.5" style="50" bestFit="1" customWidth="1"/>
    <col min="8720" max="8720" width="20" style="50" customWidth="1"/>
    <col min="8721" max="8960" width="9.125" style="50"/>
    <col min="8961" max="8961" width="7.5" style="50" customWidth="1"/>
    <col min="8962" max="8962" width="30.625" style="50" customWidth="1"/>
    <col min="8963" max="8963" width="7.625" style="50" customWidth="1"/>
    <col min="8964" max="8965" width="10.5" style="50" bestFit="1" customWidth="1"/>
    <col min="8966" max="8967" width="7.875" style="50" customWidth="1"/>
    <col min="8968" max="8968" width="7.625" style="50" customWidth="1"/>
    <col min="8969" max="8969" width="8.625" style="50" customWidth="1"/>
    <col min="8970" max="8971" width="16.625" style="50" customWidth="1"/>
    <col min="8972" max="8972" width="14.875" style="50" bestFit="1" customWidth="1"/>
    <col min="8973" max="8973" width="15.625" style="50" customWidth="1"/>
    <col min="8974" max="8974" width="14.5" style="50" customWidth="1"/>
    <col min="8975" max="8975" width="13.5" style="50" bestFit="1" customWidth="1"/>
    <col min="8976" max="8976" width="20" style="50" customWidth="1"/>
    <col min="8977" max="9216" width="9.125" style="50"/>
    <col min="9217" max="9217" width="7.5" style="50" customWidth="1"/>
    <col min="9218" max="9218" width="30.625" style="50" customWidth="1"/>
    <col min="9219" max="9219" width="7.625" style="50" customWidth="1"/>
    <col min="9220" max="9221" width="10.5" style="50" bestFit="1" customWidth="1"/>
    <col min="9222" max="9223" width="7.875" style="50" customWidth="1"/>
    <col min="9224" max="9224" width="7.625" style="50" customWidth="1"/>
    <col min="9225" max="9225" width="8.625" style="50" customWidth="1"/>
    <col min="9226" max="9227" width="16.625" style="50" customWidth="1"/>
    <col min="9228" max="9228" width="14.875" style="50" bestFit="1" customWidth="1"/>
    <col min="9229" max="9229" width="15.625" style="50" customWidth="1"/>
    <col min="9230" max="9230" width="14.5" style="50" customWidth="1"/>
    <col min="9231" max="9231" width="13.5" style="50" bestFit="1" customWidth="1"/>
    <col min="9232" max="9232" width="20" style="50" customWidth="1"/>
    <col min="9233" max="9472" width="9.125" style="50"/>
    <col min="9473" max="9473" width="7.5" style="50" customWidth="1"/>
    <col min="9474" max="9474" width="30.625" style="50" customWidth="1"/>
    <col min="9475" max="9475" width="7.625" style="50" customWidth="1"/>
    <col min="9476" max="9477" width="10.5" style="50" bestFit="1" customWidth="1"/>
    <col min="9478" max="9479" width="7.875" style="50" customWidth="1"/>
    <col min="9480" max="9480" width="7.625" style="50" customWidth="1"/>
    <col min="9481" max="9481" width="8.625" style="50" customWidth="1"/>
    <col min="9482" max="9483" width="16.625" style="50" customWidth="1"/>
    <col min="9484" max="9484" width="14.875" style="50" bestFit="1" customWidth="1"/>
    <col min="9485" max="9485" width="15.625" style="50" customWidth="1"/>
    <col min="9486" max="9486" width="14.5" style="50" customWidth="1"/>
    <col min="9487" max="9487" width="13.5" style="50" bestFit="1" customWidth="1"/>
    <col min="9488" max="9488" width="20" style="50" customWidth="1"/>
    <col min="9489" max="9728" width="9.125" style="50"/>
    <col min="9729" max="9729" width="7.5" style="50" customWidth="1"/>
    <col min="9730" max="9730" width="30.625" style="50" customWidth="1"/>
    <col min="9731" max="9731" width="7.625" style="50" customWidth="1"/>
    <col min="9732" max="9733" width="10.5" style="50" bestFit="1" customWidth="1"/>
    <col min="9734" max="9735" width="7.875" style="50" customWidth="1"/>
    <col min="9736" max="9736" width="7.625" style="50" customWidth="1"/>
    <col min="9737" max="9737" width="8.625" style="50" customWidth="1"/>
    <col min="9738" max="9739" width="16.625" style="50" customWidth="1"/>
    <col min="9740" max="9740" width="14.875" style="50" bestFit="1" customWidth="1"/>
    <col min="9741" max="9741" width="15.625" style="50" customWidth="1"/>
    <col min="9742" max="9742" width="14.5" style="50" customWidth="1"/>
    <col min="9743" max="9743" width="13.5" style="50" bestFit="1" customWidth="1"/>
    <col min="9744" max="9744" width="20" style="50" customWidth="1"/>
    <col min="9745" max="9984" width="9.125" style="50"/>
    <col min="9985" max="9985" width="7.5" style="50" customWidth="1"/>
    <col min="9986" max="9986" width="30.625" style="50" customWidth="1"/>
    <col min="9987" max="9987" width="7.625" style="50" customWidth="1"/>
    <col min="9988" max="9989" width="10.5" style="50" bestFit="1" customWidth="1"/>
    <col min="9990" max="9991" width="7.875" style="50" customWidth="1"/>
    <col min="9992" max="9992" width="7.625" style="50" customWidth="1"/>
    <col min="9993" max="9993" width="8.625" style="50" customWidth="1"/>
    <col min="9994" max="9995" width="16.625" style="50" customWidth="1"/>
    <col min="9996" max="9996" width="14.875" style="50" bestFit="1" customWidth="1"/>
    <col min="9997" max="9997" width="15.625" style="50" customWidth="1"/>
    <col min="9998" max="9998" width="14.5" style="50" customWidth="1"/>
    <col min="9999" max="9999" width="13.5" style="50" bestFit="1" customWidth="1"/>
    <col min="10000" max="10000" width="20" style="50" customWidth="1"/>
    <col min="10001" max="10240" width="9.125" style="50"/>
    <col min="10241" max="10241" width="7.5" style="50" customWidth="1"/>
    <col min="10242" max="10242" width="30.625" style="50" customWidth="1"/>
    <col min="10243" max="10243" width="7.625" style="50" customWidth="1"/>
    <col min="10244" max="10245" width="10.5" style="50" bestFit="1" customWidth="1"/>
    <col min="10246" max="10247" width="7.875" style="50" customWidth="1"/>
    <col min="10248" max="10248" width="7.625" style="50" customWidth="1"/>
    <col min="10249" max="10249" width="8.625" style="50" customWidth="1"/>
    <col min="10250" max="10251" width="16.625" style="50" customWidth="1"/>
    <col min="10252" max="10252" width="14.875" style="50" bestFit="1" customWidth="1"/>
    <col min="10253" max="10253" width="15.625" style="50" customWidth="1"/>
    <col min="10254" max="10254" width="14.5" style="50" customWidth="1"/>
    <col min="10255" max="10255" width="13.5" style="50" bestFit="1" customWidth="1"/>
    <col min="10256" max="10256" width="20" style="50" customWidth="1"/>
    <col min="10257" max="10496" width="9.125" style="50"/>
    <col min="10497" max="10497" width="7.5" style="50" customWidth="1"/>
    <col min="10498" max="10498" width="30.625" style="50" customWidth="1"/>
    <col min="10499" max="10499" width="7.625" style="50" customWidth="1"/>
    <col min="10500" max="10501" width="10.5" style="50" bestFit="1" customWidth="1"/>
    <col min="10502" max="10503" width="7.875" style="50" customWidth="1"/>
    <col min="10504" max="10504" width="7.625" style="50" customWidth="1"/>
    <col min="10505" max="10505" width="8.625" style="50" customWidth="1"/>
    <col min="10506" max="10507" width="16.625" style="50" customWidth="1"/>
    <col min="10508" max="10508" width="14.875" style="50" bestFit="1" customWidth="1"/>
    <col min="10509" max="10509" width="15.625" style="50" customWidth="1"/>
    <col min="10510" max="10510" width="14.5" style="50" customWidth="1"/>
    <col min="10511" max="10511" width="13.5" style="50" bestFit="1" customWidth="1"/>
    <col min="10512" max="10512" width="20" style="50" customWidth="1"/>
    <col min="10513" max="10752" width="9.125" style="50"/>
    <col min="10753" max="10753" width="7.5" style="50" customWidth="1"/>
    <col min="10754" max="10754" width="30.625" style="50" customWidth="1"/>
    <col min="10755" max="10755" width="7.625" style="50" customWidth="1"/>
    <col min="10756" max="10757" width="10.5" style="50" bestFit="1" customWidth="1"/>
    <col min="10758" max="10759" width="7.875" style="50" customWidth="1"/>
    <col min="10760" max="10760" width="7.625" style="50" customWidth="1"/>
    <col min="10761" max="10761" width="8.625" style="50" customWidth="1"/>
    <col min="10762" max="10763" width="16.625" style="50" customWidth="1"/>
    <col min="10764" max="10764" width="14.875" style="50" bestFit="1" customWidth="1"/>
    <col min="10765" max="10765" width="15.625" style="50" customWidth="1"/>
    <col min="10766" max="10766" width="14.5" style="50" customWidth="1"/>
    <col min="10767" max="10767" width="13.5" style="50" bestFit="1" customWidth="1"/>
    <col min="10768" max="10768" width="20" style="50" customWidth="1"/>
    <col min="10769" max="11008" width="9.125" style="50"/>
    <col min="11009" max="11009" width="7.5" style="50" customWidth="1"/>
    <col min="11010" max="11010" width="30.625" style="50" customWidth="1"/>
    <col min="11011" max="11011" width="7.625" style="50" customWidth="1"/>
    <col min="11012" max="11013" width="10.5" style="50" bestFit="1" customWidth="1"/>
    <col min="11014" max="11015" width="7.875" style="50" customWidth="1"/>
    <col min="11016" max="11016" width="7.625" style="50" customWidth="1"/>
    <col min="11017" max="11017" width="8.625" style="50" customWidth="1"/>
    <col min="11018" max="11019" width="16.625" style="50" customWidth="1"/>
    <col min="11020" max="11020" width="14.875" style="50" bestFit="1" customWidth="1"/>
    <col min="11021" max="11021" width="15.625" style="50" customWidth="1"/>
    <col min="11022" max="11022" width="14.5" style="50" customWidth="1"/>
    <col min="11023" max="11023" width="13.5" style="50" bestFit="1" customWidth="1"/>
    <col min="11024" max="11024" width="20" style="50" customWidth="1"/>
    <col min="11025" max="11264" width="9.125" style="50"/>
    <col min="11265" max="11265" width="7.5" style="50" customWidth="1"/>
    <col min="11266" max="11266" width="30.625" style="50" customWidth="1"/>
    <col min="11267" max="11267" width="7.625" style="50" customWidth="1"/>
    <col min="11268" max="11269" width="10.5" style="50" bestFit="1" customWidth="1"/>
    <col min="11270" max="11271" width="7.875" style="50" customWidth="1"/>
    <col min="11272" max="11272" width="7.625" style="50" customWidth="1"/>
    <col min="11273" max="11273" width="8.625" style="50" customWidth="1"/>
    <col min="11274" max="11275" width="16.625" style="50" customWidth="1"/>
    <col min="11276" max="11276" width="14.875" style="50" bestFit="1" customWidth="1"/>
    <col min="11277" max="11277" width="15.625" style="50" customWidth="1"/>
    <col min="11278" max="11278" width="14.5" style="50" customWidth="1"/>
    <col min="11279" max="11279" width="13.5" style="50" bestFit="1" customWidth="1"/>
    <col min="11280" max="11280" width="20" style="50" customWidth="1"/>
    <col min="11281" max="11520" width="9.125" style="50"/>
    <col min="11521" max="11521" width="7.5" style="50" customWidth="1"/>
    <col min="11522" max="11522" width="30.625" style="50" customWidth="1"/>
    <col min="11523" max="11523" width="7.625" style="50" customWidth="1"/>
    <col min="11524" max="11525" width="10.5" style="50" bestFit="1" customWidth="1"/>
    <col min="11526" max="11527" width="7.875" style="50" customWidth="1"/>
    <col min="11528" max="11528" width="7.625" style="50" customWidth="1"/>
    <col min="11529" max="11529" width="8.625" style="50" customWidth="1"/>
    <col min="11530" max="11531" width="16.625" style="50" customWidth="1"/>
    <col min="11532" max="11532" width="14.875" style="50" bestFit="1" customWidth="1"/>
    <col min="11533" max="11533" width="15.625" style="50" customWidth="1"/>
    <col min="11534" max="11534" width="14.5" style="50" customWidth="1"/>
    <col min="11535" max="11535" width="13.5" style="50" bestFit="1" customWidth="1"/>
    <col min="11536" max="11536" width="20" style="50" customWidth="1"/>
    <col min="11537" max="11776" width="9.125" style="50"/>
    <col min="11777" max="11777" width="7.5" style="50" customWidth="1"/>
    <col min="11778" max="11778" width="30.625" style="50" customWidth="1"/>
    <col min="11779" max="11779" width="7.625" style="50" customWidth="1"/>
    <col min="11780" max="11781" width="10.5" style="50" bestFit="1" customWidth="1"/>
    <col min="11782" max="11783" width="7.875" style="50" customWidth="1"/>
    <col min="11784" max="11784" width="7.625" style="50" customWidth="1"/>
    <col min="11785" max="11785" width="8.625" style="50" customWidth="1"/>
    <col min="11786" max="11787" width="16.625" style="50" customWidth="1"/>
    <col min="11788" max="11788" width="14.875" style="50" bestFit="1" customWidth="1"/>
    <col min="11789" max="11789" width="15.625" style="50" customWidth="1"/>
    <col min="11790" max="11790" width="14.5" style="50" customWidth="1"/>
    <col min="11791" max="11791" width="13.5" style="50" bestFit="1" customWidth="1"/>
    <col min="11792" max="11792" width="20" style="50" customWidth="1"/>
    <col min="11793" max="12032" width="9.125" style="50"/>
    <col min="12033" max="12033" width="7.5" style="50" customWidth="1"/>
    <col min="12034" max="12034" width="30.625" style="50" customWidth="1"/>
    <col min="12035" max="12035" width="7.625" style="50" customWidth="1"/>
    <col min="12036" max="12037" width="10.5" style="50" bestFit="1" customWidth="1"/>
    <col min="12038" max="12039" width="7.875" style="50" customWidth="1"/>
    <col min="12040" max="12040" width="7.625" style="50" customWidth="1"/>
    <col min="12041" max="12041" width="8.625" style="50" customWidth="1"/>
    <col min="12042" max="12043" width="16.625" style="50" customWidth="1"/>
    <col min="12044" max="12044" width="14.875" style="50" bestFit="1" customWidth="1"/>
    <col min="12045" max="12045" width="15.625" style="50" customWidth="1"/>
    <col min="12046" max="12046" width="14.5" style="50" customWidth="1"/>
    <col min="12047" max="12047" width="13.5" style="50" bestFit="1" customWidth="1"/>
    <col min="12048" max="12048" width="20" style="50" customWidth="1"/>
    <col min="12049" max="12288" width="9.125" style="50"/>
    <col min="12289" max="12289" width="7.5" style="50" customWidth="1"/>
    <col min="12290" max="12290" width="30.625" style="50" customWidth="1"/>
    <col min="12291" max="12291" width="7.625" style="50" customWidth="1"/>
    <col min="12292" max="12293" width="10.5" style="50" bestFit="1" customWidth="1"/>
    <col min="12294" max="12295" width="7.875" style="50" customWidth="1"/>
    <col min="12296" max="12296" width="7.625" style="50" customWidth="1"/>
    <col min="12297" max="12297" width="8.625" style="50" customWidth="1"/>
    <col min="12298" max="12299" width="16.625" style="50" customWidth="1"/>
    <col min="12300" max="12300" width="14.875" style="50" bestFit="1" customWidth="1"/>
    <col min="12301" max="12301" width="15.625" style="50" customWidth="1"/>
    <col min="12302" max="12302" width="14.5" style="50" customWidth="1"/>
    <col min="12303" max="12303" width="13.5" style="50" bestFit="1" customWidth="1"/>
    <col min="12304" max="12304" width="20" style="50" customWidth="1"/>
    <col min="12305" max="12544" width="9.125" style="50"/>
    <col min="12545" max="12545" width="7.5" style="50" customWidth="1"/>
    <col min="12546" max="12546" width="30.625" style="50" customWidth="1"/>
    <col min="12547" max="12547" width="7.625" style="50" customWidth="1"/>
    <col min="12548" max="12549" width="10.5" style="50" bestFit="1" customWidth="1"/>
    <col min="12550" max="12551" width="7.875" style="50" customWidth="1"/>
    <col min="12552" max="12552" width="7.625" style="50" customWidth="1"/>
    <col min="12553" max="12553" width="8.625" style="50" customWidth="1"/>
    <col min="12554" max="12555" width="16.625" style="50" customWidth="1"/>
    <col min="12556" max="12556" width="14.875" style="50" bestFit="1" customWidth="1"/>
    <col min="12557" max="12557" width="15.625" style="50" customWidth="1"/>
    <col min="12558" max="12558" width="14.5" style="50" customWidth="1"/>
    <col min="12559" max="12559" width="13.5" style="50" bestFit="1" customWidth="1"/>
    <col min="12560" max="12560" width="20" style="50" customWidth="1"/>
    <col min="12561" max="12800" width="9.125" style="50"/>
    <col min="12801" max="12801" width="7.5" style="50" customWidth="1"/>
    <col min="12802" max="12802" width="30.625" style="50" customWidth="1"/>
    <col min="12803" max="12803" width="7.625" style="50" customWidth="1"/>
    <col min="12804" max="12805" width="10.5" style="50" bestFit="1" customWidth="1"/>
    <col min="12806" max="12807" width="7.875" style="50" customWidth="1"/>
    <col min="12808" max="12808" width="7.625" style="50" customWidth="1"/>
    <col min="12809" max="12809" width="8.625" style="50" customWidth="1"/>
    <col min="12810" max="12811" width="16.625" style="50" customWidth="1"/>
    <col min="12812" max="12812" width="14.875" style="50" bestFit="1" customWidth="1"/>
    <col min="12813" max="12813" width="15.625" style="50" customWidth="1"/>
    <col min="12814" max="12814" width="14.5" style="50" customWidth="1"/>
    <col min="12815" max="12815" width="13.5" style="50" bestFit="1" customWidth="1"/>
    <col min="12816" max="12816" width="20" style="50" customWidth="1"/>
    <col min="12817" max="13056" width="9.125" style="50"/>
    <col min="13057" max="13057" width="7.5" style="50" customWidth="1"/>
    <col min="13058" max="13058" width="30.625" style="50" customWidth="1"/>
    <col min="13059" max="13059" width="7.625" style="50" customWidth="1"/>
    <col min="13060" max="13061" width="10.5" style="50" bestFit="1" customWidth="1"/>
    <col min="13062" max="13063" width="7.875" style="50" customWidth="1"/>
    <col min="13064" max="13064" width="7.625" style="50" customWidth="1"/>
    <col min="13065" max="13065" width="8.625" style="50" customWidth="1"/>
    <col min="13066" max="13067" width="16.625" style="50" customWidth="1"/>
    <col min="13068" max="13068" width="14.875" style="50" bestFit="1" customWidth="1"/>
    <col min="13069" max="13069" width="15.625" style="50" customWidth="1"/>
    <col min="13070" max="13070" width="14.5" style="50" customWidth="1"/>
    <col min="13071" max="13071" width="13.5" style="50" bestFit="1" customWidth="1"/>
    <col min="13072" max="13072" width="20" style="50" customWidth="1"/>
    <col min="13073" max="13312" width="9.125" style="50"/>
    <col min="13313" max="13313" width="7.5" style="50" customWidth="1"/>
    <col min="13314" max="13314" width="30.625" style="50" customWidth="1"/>
    <col min="13315" max="13315" width="7.625" style="50" customWidth="1"/>
    <col min="13316" max="13317" width="10.5" style="50" bestFit="1" customWidth="1"/>
    <col min="13318" max="13319" width="7.875" style="50" customWidth="1"/>
    <col min="13320" max="13320" width="7.625" style="50" customWidth="1"/>
    <col min="13321" max="13321" width="8.625" style="50" customWidth="1"/>
    <col min="13322" max="13323" width="16.625" style="50" customWidth="1"/>
    <col min="13324" max="13324" width="14.875" style="50" bestFit="1" customWidth="1"/>
    <col min="13325" max="13325" width="15.625" style="50" customWidth="1"/>
    <col min="13326" max="13326" width="14.5" style="50" customWidth="1"/>
    <col min="13327" max="13327" width="13.5" style="50" bestFit="1" customWidth="1"/>
    <col min="13328" max="13328" width="20" style="50" customWidth="1"/>
    <col min="13329" max="13568" width="9.125" style="50"/>
    <col min="13569" max="13569" width="7.5" style="50" customWidth="1"/>
    <col min="13570" max="13570" width="30.625" style="50" customWidth="1"/>
    <col min="13571" max="13571" width="7.625" style="50" customWidth="1"/>
    <col min="13572" max="13573" width="10.5" style="50" bestFit="1" customWidth="1"/>
    <col min="13574" max="13575" width="7.875" style="50" customWidth="1"/>
    <col min="13576" max="13576" width="7.625" style="50" customWidth="1"/>
    <col min="13577" max="13577" width="8.625" style="50" customWidth="1"/>
    <col min="13578" max="13579" width="16.625" style="50" customWidth="1"/>
    <col min="13580" max="13580" width="14.875" style="50" bestFit="1" customWidth="1"/>
    <col min="13581" max="13581" width="15.625" style="50" customWidth="1"/>
    <col min="13582" max="13582" width="14.5" style="50" customWidth="1"/>
    <col min="13583" max="13583" width="13.5" style="50" bestFit="1" customWidth="1"/>
    <col min="13584" max="13584" width="20" style="50" customWidth="1"/>
    <col min="13585" max="13824" width="9.125" style="50"/>
    <col min="13825" max="13825" width="7.5" style="50" customWidth="1"/>
    <col min="13826" max="13826" width="30.625" style="50" customWidth="1"/>
    <col min="13827" max="13827" width="7.625" style="50" customWidth="1"/>
    <col min="13828" max="13829" width="10.5" style="50" bestFit="1" customWidth="1"/>
    <col min="13830" max="13831" width="7.875" style="50" customWidth="1"/>
    <col min="13832" max="13832" width="7.625" style="50" customWidth="1"/>
    <col min="13833" max="13833" width="8.625" style="50" customWidth="1"/>
    <col min="13834" max="13835" width="16.625" style="50" customWidth="1"/>
    <col min="13836" max="13836" width="14.875" style="50" bestFit="1" customWidth="1"/>
    <col min="13837" max="13837" width="15.625" style="50" customWidth="1"/>
    <col min="13838" max="13838" width="14.5" style="50" customWidth="1"/>
    <col min="13839" max="13839" width="13.5" style="50" bestFit="1" customWidth="1"/>
    <col min="13840" max="13840" width="20" style="50" customWidth="1"/>
    <col min="13841" max="14080" width="9.125" style="50"/>
    <col min="14081" max="14081" width="7.5" style="50" customWidth="1"/>
    <col min="14082" max="14082" width="30.625" style="50" customWidth="1"/>
    <col min="14083" max="14083" width="7.625" style="50" customWidth="1"/>
    <col min="14084" max="14085" width="10.5" style="50" bestFit="1" customWidth="1"/>
    <col min="14086" max="14087" width="7.875" style="50" customWidth="1"/>
    <col min="14088" max="14088" width="7.625" style="50" customWidth="1"/>
    <col min="14089" max="14089" width="8.625" style="50" customWidth="1"/>
    <col min="14090" max="14091" width="16.625" style="50" customWidth="1"/>
    <col min="14092" max="14092" width="14.875" style="50" bestFit="1" customWidth="1"/>
    <col min="14093" max="14093" width="15.625" style="50" customWidth="1"/>
    <col min="14094" max="14094" width="14.5" style="50" customWidth="1"/>
    <col min="14095" max="14095" width="13.5" style="50" bestFit="1" customWidth="1"/>
    <col min="14096" max="14096" width="20" style="50" customWidth="1"/>
    <col min="14097" max="14336" width="9.125" style="50"/>
    <col min="14337" max="14337" width="7.5" style="50" customWidth="1"/>
    <col min="14338" max="14338" width="30.625" style="50" customWidth="1"/>
    <col min="14339" max="14339" width="7.625" style="50" customWidth="1"/>
    <col min="14340" max="14341" width="10.5" style="50" bestFit="1" customWidth="1"/>
    <col min="14342" max="14343" width="7.875" style="50" customWidth="1"/>
    <col min="14344" max="14344" width="7.625" style="50" customWidth="1"/>
    <col min="14345" max="14345" width="8.625" style="50" customWidth="1"/>
    <col min="14346" max="14347" width="16.625" style="50" customWidth="1"/>
    <col min="14348" max="14348" width="14.875" style="50" bestFit="1" customWidth="1"/>
    <col min="14349" max="14349" width="15.625" style="50" customWidth="1"/>
    <col min="14350" max="14350" width="14.5" style="50" customWidth="1"/>
    <col min="14351" max="14351" width="13.5" style="50" bestFit="1" customWidth="1"/>
    <col min="14352" max="14352" width="20" style="50" customWidth="1"/>
    <col min="14353" max="14592" width="9.125" style="50"/>
    <col min="14593" max="14593" width="7.5" style="50" customWidth="1"/>
    <col min="14594" max="14594" width="30.625" style="50" customWidth="1"/>
    <col min="14595" max="14595" width="7.625" style="50" customWidth="1"/>
    <col min="14596" max="14597" width="10.5" style="50" bestFit="1" customWidth="1"/>
    <col min="14598" max="14599" width="7.875" style="50" customWidth="1"/>
    <col min="14600" max="14600" width="7.625" style="50" customWidth="1"/>
    <col min="14601" max="14601" width="8.625" style="50" customWidth="1"/>
    <col min="14602" max="14603" width="16.625" style="50" customWidth="1"/>
    <col min="14604" max="14604" width="14.875" style="50" bestFit="1" customWidth="1"/>
    <col min="14605" max="14605" width="15.625" style="50" customWidth="1"/>
    <col min="14606" max="14606" width="14.5" style="50" customWidth="1"/>
    <col min="14607" max="14607" width="13.5" style="50" bestFit="1" customWidth="1"/>
    <col min="14608" max="14608" width="20" style="50" customWidth="1"/>
    <col min="14609" max="14848" width="9.125" style="50"/>
    <col min="14849" max="14849" width="7.5" style="50" customWidth="1"/>
    <col min="14850" max="14850" width="30.625" style="50" customWidth="1"/>
    <col min="14851" max="14851" width="7.625" style="50" customWidth="1"/>
    <col min="14852" max="14853" width="10.5" style="50" bestFit="1" customWidth="1"/>
    <col min="14854" max="14855" width="7.875" style="50" customWidth="1"/>
    <col min="14856" max="14856" width="7.625" style="50" customWidth="1"/>
    <col min="14857" max="14857" width="8.625" style="50" customWidth="1"/>
    <col min="14858" max="14859" width="16.625" style="50" customWidth="1"/>
    <col min="14860" max="14860" width="14.875" style="50" bestFit="1" customWidth="1"/>
    <col min="14861" max="14861" width="15.625" style="50" customWidth="1"/>
    <col min="14862" max="14862" width="14.5" style="50" customWidth="1"/>
    <col min="14863" max="14863" width="13.5" style="50" bestFit="1" customWidth="1"/>
    <col min="14864" max="14864" width="20" style="50" customWidth="1"/>
    <col min="14865" max="15104" width="9.125" style="50"/>
    <col min="15105" max="15105" width="7.5" style="50" customWidth="1"/>
    <col min="15106" max="15106" width="30.625" style="50" customWidth="1"/>
    <col min="15107" max="15107" width="7.625" style="50" customWidth="1"/>
    <col min="15108" max="15109" width="10.5" style="50" bestFit="1" customWidth="1"/>
    <col min="15110" max="15111" width="7.875" style="50" customWidth="1"/>
    <col min="15112" max="15112" width="7.625" style="50" customWidth="1"/>
    <col min="15113" max="15113" width="8.625" style="50" customWidth="1"/>
    <col min="15114" max="15115" width="16.625" style="50" customWidth="1"/>
    <col min="15116" max="15116" width="14.875" style="50" bestFit="1" customWidth="1"/>
    <col min="15117" max="15117" width="15.625" style="50" customWidth="1"/>
    <col min="15118" max="15118" width="14.5" style="50" customWidth="1"/>
    <col min="15119" max="15119" width="13.5" style="50" bestFit="1" customWidth="1"/>
    <col min="15120" max="15120" width="20" style="50" customWidth="1"/>
    <col min="15121" max="15360" width="9.125" style="50"/>
    <col min="15361" max="15361" width="7.5" style="50" customWidth="1"/>
    <col min="15362" max="15362" width="30.625" style="50" customWidth="1"/>
    <col min="15363" max="15363" width="7.625" style="50" customWidth="1"/>
    <col min="15364" max="15365" width="10.5" style="50" bestFit="1" customWidth="1"/>
    <col min="15366" max="15367" width="7.875" style="50" customWidth="1"/>
    <col min="15368" max="15368" width="7.625" style="50" customWidth="1"/>
    <col min="15369" max="15369" width="8.625" style="50" customWidth="1"/>
    <col min="15370" max="15371" width="16.625" style="50" customWidth="1"/>
    <col min="15372" max="15372" width="14.875" style="50" bestFit="1" customWidth="1"/>
    <col min="15373" max="15373" width="15.625" style="50" customWidth="1"/>
    <col min="15374" max="15374" width="14.5" style="50" customWidth="1"/>
    <col min="15375" max="15375" width="13.5" style="50" bestFit="1" customWidth="1"/>
    <col min="15376" max="15376" width="20" style="50" customWidth="1"/>
    <col min="15377" max="15616" width="9.125" style="50"/>
    <col min="15617" max="15617" width="7.5" style="50" customWidth="1"/>
    <col min="15618" max="15618" width="30.625" style="50" customWidth="1"/>
    <col min="15619" max="15619" width="7.625" style="50" customWidth="1"/>
    <col min="15620" max="15621" width="10.5" style="50" bestFit="1" customWidth="1"/>
    <col min="15622" max="15623" width="7.875" style="50" customWidth="1"/>
    <col min="15624" max="15624" width="7.625" style="50" customWidth="1"/>
    <col min="15625" max="15625" width="8.625" style="50" customWidth="1"/>
    <col min="15626" max="15627" width="16.625" style="50" customWidth="1"/>
    <col min="15628" max="15628" width="14.875" style="50" bestFit="1" customWidth="1"/>
    <col min="15629" max="15629" width="15.625" style="50" customWidth="1"/>
    <col min="15630" max="15630" width="14.5" style="50" customWidth="1"/>
    <col min="15631" max="15631" width="13.5" style="50" bestFit="1" customWidth="1"/>
    <col min="15632" max="15632" width="20" style="50" customWidth="1"/>
    <col min="15633" max="15872" width="9.125" style="50"/>
    <col min="15873" max="15873" width="7.5" style="50" customWidth="1"/>
    <col min="15874" max="15874" width="30.625" style="50" customWidth="1"/>
    <col min="15875" max="15875" width="7.625" style="50" customWidth="1"/>
    <col min="15876" max="15877" width="10.5" style="50" bestFit="1" customWidth="1"/>
    <col min="15878" max="15879" width="7.875" style="50" customWidth="1"/>
    <col min="15880" max="15880" width="7.625" style="50" customWidth="1"/>
    <col min="15881" max="15881" width="8.625" style="50" customWidth="1"/>
    <col min="15882" max="15883" width="16.625" style="50" customWidth="1"/>
    <col min="15884" max="15884" width="14.875" style="50" bestFit="1" customWidth="1"/>
    <col min="15885" max="15885" width="15.625" style="50" customWidth="1"/>
    <col min="15886" max="15886" width="14.5" style="50" customWidth="1"/>
    <col min="15887" max="15887" width="13.5" style="50" bestFit="1" customWidth="1"/>
    <col min="15888" max="15888" width="20" style="50" customWidth="1"/>
    <col min="15889" max="16128" width="9.125" style="50"/>
    <col min="16129" max="16129" width="7.5" style="50" customWidth="1"/>
    <col min="16130" max="16130" width="30.625" style="50" customWidth="1"/>
    <col min="16131" max="16131" width="7.625" style="50" customWidth="1"/>
    <col min="16132" max="16133" width="10.5" style="50" bestFit="1" customWidth="1"/>
    <col min="16134" max="16135" width="7.875" style="50" customWidth="1"/>
    <col min="16136" max="16136" width="7.625" style="50" customWidth="1"/>
    <col min="16137" max="16137" width="8.625" style="50" customWidth="1"/>
    <col min="16138" max="16139" width="16.625" style="50" customWidth="1"/>
    <col min="16140" max="16140" width="14.875" style="50" bestFit="1" customWidth="1"/>
    <col min="16141" max="16141" width="15.625" style="50" customWidth="1"/>
    <col min="16142" max="16142" width="14.5" style="50" customWidth="1"/>
    <col min="16143" max="16143" width="13.5" style="50" bestFit="1" customWidth="1"/>
    <col min="16144" max="16144" width="20" style="50" customWidth="1"/>
    <col min="16145" max="16384" width="9.125" style="50"/>
  </cols>
  <sheetData>
    <row r="1" spans="1:16" ht="19.5">
      <c r="A1" s="611" t="s">
        <v>22</v>
      </c>
      <c r="B1" s="611"/>
      <c r="C1" s="611"/>
      <c r="D1" s="611"/>
      <c r="E1" s="611"/>
      <c r="F1" s="611"/>
      <c r="G1" s="611"/>
      <c r="H1" s="611"/>
      <c r="I1" s="611"/>
      <c r="J1" s="611"/>
      <c r="K1" s="611"/>
      <c r="L1" s="611"/>
      <c r="M1" s="611"/>
      <c r="N1" s="611"/>
    </row>
    <row r="2" spans="1:16" ht="19.5">
      <c r="A2" s="612" t="s">
        <v>23</v>
      </c>
      <c r="B2" s="611"/>
      <c r="C2" s="611"/>
      <c r="D2" s="611"/>
      <c r="E2" s="611"/>
      <c r="F2" s="611"/>
      <c r="G2" s="611"/>
      <c r="H2" s="611"/>
      <c r="I2" s="611"/>
      <c r="J2" s="611"/>
      <c r="K2" s="611"/>
      <c r="L2" s="611"/>
      <c r="M2" s="611"/>
      <c r="N2" s="611"/>
    </row>
    <row r="3" spans="1:16" s="52" customFormat="1">
      <c r="A3" s="613" t="s">
        <v>937</v>
      </c>
      <c r="B3" s="614"/>
      <c r="C3" s="614"/>
      <c r="D3" s="614"/>
      <c r="E3" s="614"/>
      <c r="F3" s="51"/>
      <c r="G3" s="51"/>
      <c r="H3" s="51"/>
      <c r="I3" s="51"/>
      <c r="J3" s="615"/>
      <c r="K3" s="615"/>
      <c r="L3" s="51"/>
      <c r="M3" s="616" t="s">
        <v>24</v>
      </c>
      <c r="N3" s="617"/>
    </row>
    <row r="4" spans="1:16" s="52" customFormat="1">
      <c r="A4" s="606" t="s">
        <v>25</v>
      </c>
      <c r="B4" s="606" t="s">
        <v>26</v>
      </c>
      <c r="C4" s="606" t="s">
        <v>27</v>
      </c>
      <c r="D4" s="606" t="s">
        <v>28</v>
      </c>
      <c r="E4" s="606" t="s">
        <v>29</v>
      </c>
      <c r="F4" s="609" t="s">
        <v>30</v>
      </c>
      <c r="G4" s="610"/>
      <c r="H4" s="606" t="s">
        <v>31</v>
      </c>
      <c r="I4" s="606" t="s">
        <v>32</v>
      </c>
      <c r="J4" s="606" t="s">
        <v>33</v>
      </c>
      <c r="K4" s="606" t="s">
        <v>34</v>
      </c>
      <c r="L4" s="609" t="s">
        <v>35</v>
      </c>
      <c r="M4" s="610"/>
      <c r="N4" s="606" t="s">
        <v>36</v>
      </c>
    </row>
    <row r="5" spans="1:16" s="52" customFormat="1" ht="30" customHeight="1">
      <c r="A5" s="606"/>
      <c r="B5" s="606"/>
      <c r="C5" s="606"/>
      <c r="D5" s="606"/>
      <c r="E5" s="606"/>
      <c r="F5" s="53" t="s">
        <v>37</v>
      </c>
      <c r="G5" s="53" t="s">
        <v>38</v>
      </c>
      <c r="H5" s="606"/>
      <c r="I5" s="606"/>
      <c r="J5" s="606"/>
      <c r="K5" s="609"/>
      <c r="L5" s="53" t="s">
        <v>37</v>
      </c>
      <c r="M5" s="53" t="s">
        <v>38</v>
      </c>
      <c r="N5" s="606"/>
    </row>
    <row r="6" spans="1:16" s="52" customFormat="1" ht="16.5" customHeight="1">
      <c r="A6" s="54" t="s">
        <v>39</v>
      </c>
      <c r="B6" s="55" t="s">
        <v>40</v>
      </c>
      <c r="C6" s="56"/>
      <c r="D6" s="57"/>
      <c r="E6" s="57"/>
      <c r="F6" s="55"/>
      <c r="G6" s="55"/>
      <c r="H6" s="55"/>
      <c r="I6" s="55"/>
      <c r="J6" s="58"/>
      <c r="K6" s="59"/>
      <c r="L6" s="60"/>
      <c r="M6" s="60"/>
      <c r="N6" s="61"/>
    </row>
    <row r="7" spans="1:16" s="52" customFormat="1" ht="16.5" customHeight="1">
      <c r="A7" s="71" t="s">
        <v>938</v>
      </c>
      <c r="B7" s="62" t="s">
        <v>950</v>
      </c>
      <c r="C7" s="63" t="s">
        <v>41</v>
      </c>
      <c r="D7" s="57">
        <v>1</v>
      </c>
      <c r="E7" s="57">
        <v>1</v>
      </c>
      <c r="F7" s="55"/>
      <c r="G7" s="55"/>
      <c r="H7" s="64">
        <v>0</v>
      </c>
      <c r="I7" s="64">
        <v>0</v>
      </c>
      <c r="J7" s="353">
        <f>第一次變更詳細表!J91</f>
        <v>36681589</v>
      </c>
      <c r="K7" s="354">
        <f>第一次變更詳細表!K91</f>
        <v>36467710</v>
      </c>
      <c r="L7" s="355">
        <f>第一次變更詳細表!L91</f>
        <v>9246492</v>
      </c>
      <c r="M7" s="355">
        <f>第一次變更詳細表!M91</f>
        <v>9460371</v>
      </c>
      <c r="N7" s="65"/>
      <c r="O7" s="66">
        <f>K7-J7</f>
        <v>-213879</v>
      </c>
      <c r="P7" s="67">
        <f>L7-M7</f>
        <v>-213879</v>
      </c>
    </row>
    <row r="8" spans="1:16" s="52" customFormat="1" ht="16.5" customHeight="1">
      <c r="A8" s="71" t="s">
        <v>939</v>
      </c>
      <c r="B8" s="62" t="s">
        <v>951</v>
      </c>
      <c r="C8" s="63" t="s">
        <v>41</v>
      </c>
      <c r="D8" s="57">
        <v>1</v>
      </c>
      <c r="E8" s="57">
        <v>1</v>
      </c>
      <c r="F8" s="55"/>
      <c r="G8" s="55"/>
      <c r="H8" s="64">
        <v>0</v>
      </c>
      <c r="I8" s="64">
        <v>0</v>
      </c>
      <c r="J8" s="353">
        <f>第一次變更詳細表!J114</f>
        <v>1713638</v>
      </c>
      <c r="K8" s="352">
        <f>第一次變更詳細表!K114</f>
        <v>2461292</v>
      </c>
      <c r="L8" s="352">
        <f>第一次變更詳細表!L114</f>
        <v>747654</v>
      </c>
      <c r="M8" s="353">
        <f>第一次變更詳細表!M114</f>
        <v>0</v>
      </c>
      <c r="N8" s="65"/>
      <c r="O8" s="68"/>
      <c r="P8" s="67"/>
    </row>
    <row r="9" spans="1:16" s="52" customFormat="1" ht="16.5" customHeight="1">
      <c r="A9" s="71" t="s">
        <v>940</v>
      </c>
      <c r="B9" s="62" t="s">
        <v>42</v>
      </c>
      <c r="C9" s="63" t="s">
        <v>41</v>
      </c>
      <c r="D9" s="57">
        <v>1</v>
      </c>
      <c r="E9" s="57">
        <v>1</v>
      </c>
      <c r="F9" s="55"/>
      <c r="G9" s="55"/>
      <c r="H9" s="64">
        <v>0</v>
      </c>
      <c r="I9" s="64">
        <v>0</v>
      </c>
      <c r="J9" s="353">
        <f>第一次變更詳細表!J133</f>
        <v>1127768</v>
      </c>
      <c r="K9" s="352">
        <f>第一次變更詳細表!K133</f>
        <v>1110848</v>
      </c>
      <c r="L9" s="352">
        <f>第一次變更詳細表!L133</f>
        <v>43040</v>
      </c>
      <c r="M9" s="352">
        <f>第一次變更詳細表!M133</f>
        <v>59960</v>
      </c>
      <c r="N9" s="65"/>
    </row>
    <row r="10" spans="1:16" s="52" customFormat="1" ht="16.5" customHeight="1">
      <c r="A10" s="71" t="s">
        <v>941</v>
      </c>
      <c r="B10" s="62" t="s">
        <v>43</v>
      </c>
      <c r="C10" s="63" t="s">
        <v>41</v>
      </c>
      <c r="D10" s="57">
        <v>1</v>
      </c>
      <c r="E10" s="57">
        <v>1</v>
      </c>
      <c r="F10" s="55"/>
      <c r="G10" s="55"/>
      <c r="H10" s="64">
        <v>0</v>
      </c>
      <c r="I10" s="64">
        <v>0</v>
      </c>
      <c r="J10" s="353">
        <f>第一次變更詳細表!J137</f>
        <v>243442</v>
      </c>
      <c r="K10" s="353">
        <f>第一次變更詳細表!K137</f>
        <v>243442</v>
      </c>
      <c r="L10" s="355"/>
      <c r="M10" s="355"/>
      <c r="N10" s="65"/>
      <c r="O10" s="66">
        <f>K10-J10</f>
        <v>0</v>
      </c>
      <c r="P10" s="66">
        <f>L10-M10</f>
        <v>0</v>
      </c>
    </row>
    <row r="11" spans="1:16" s="52" customFormat="1" ht="16.5" customHeight="1">
      <c r="A11" s="71" t="s">
        <v>942</v>
      </c>
      <c r="B11" s="62" t="s">
        <v>44</v>
      </c>
      <c r="C11" s="63" t="s">
        <v>41</v>
      </c>
      <c r="D11" s="57">
        <v>1</v>
      </c>
      <c r="E11" s="57">
        <v>1</v>
      </c>
      <c r="F11" s="55"/>
      <c r="G11" s="55"/>
      <c r="H11" s="64">
        <v>0</v>
      </c>
      <c r="I11" s="64">
        <v>0</v>
      </c>
      <c r="J11" s="353">
        <f>第一次變更詳細表!J168</f>
        <v>564338</v>
      </c>
      <c r="K11" s="352">
        <f>第一次變更詳細表!K168</f>
        <v>642974</v>
      </c>
      <c r="L11" s="352">
        <f>第一次變更詳細表!L168</f>
        <v>104971</v>
      </c>
      <c r="M11" s="352">
        <f>第一次變更詳細表!M168</f>
        <v>26335</v>
      </c>
      <c r="N11" s="65"/>
      <c r="O11" s="69"/>
    </row>
    <row r="12" spans="1:16" s="52" customFormat="1" ht="16.5" customHeight="1">
      <c r="A12" s="71" t="s">
        <v>943</v>
      </c>
      <c r="B12" s="62" t="s">
        <v>315</v>
      </c>
      <c r="C12" s="63" t="s">
        <v>41</v>
      </c>
      <c r="D12" s="57">
        <v>1</v>
      </c>
      <c r="E12" s="57">
        <v>1</v>
      </c>
      <c r="F12" s="55"/>
      <c r="G12" s="55"/>
      <c r="H12" s="64">
        <v>0</v>
      </c>
      <c r="I12" s="64">
        <v>0</v>
      </c>
      <c r="J12" s="353">
        <f>第一次變更詳細表!H169</f>
        <v>3476354</v>
      </c>
      <c r="K12" s="352">
        <f>第一次變更詳細表!K169</f>
        <v>3524683</v>
      </c>
      <c r="L12" s="352">
        <f>第一次變更詳細表!L169</f>
        <v>48329</v>
      </c>
      <c r="M12" s="353">
        <f>第一次變更詳細表!M169</f>
        <v>0</v>
      </c>
      <c r="N12" s="70"/>
      <c r="O12" s="72">
        <f>SUM(K7:K12)</f>
        <v>44450949</v>
      </c>
    </row>
    <row r="13" spans="1:16" s="52" customFormat="1" ht="16.5">
      <c r="A13" s="71" t="s">
        <v>944</v>
      </c>
      <c r="B13" s="62" t="s">
        <v>952</v>
      </c>
      <c r="C13" s="63" t="s">
        <v>41</v>
      </c>
      <c r="D13" s="57">
        <v>1</v>
      </c>
      <c r="E13" s="57">
        <v>1</v>
      </c>
      <c r="F13" s="55"/>
      <c r="G13" s="55"/>
      <c r="H13" s="64">
        <v>0</v>
      </c>
      <c r="I13" s="64">
        <v>0</v>
      </c>
      <c r="J13" s="353">
        <f>第一次變更詳細表!H170</f>
        <v>524300</v>
      </c>
      <c r="K13" s="352">
        <f>第一次變更詳細表!K170</f>
        <v>531588.88078979193</v>
      </c>
      <c r="L13" s="352">
        <f>第一次變更詳細表!L170</f>
        <v>7288.8807897919323</v>
      </c>
      <c r="M13" s="352">
        <f>第一次變更詳細表!M170</f>
        <v>0</v>
      </c>
      <c r="N13" s="70"/>
      <c r="O13" s="72"/>
    </row>
    <row r="14" spans="1:16" s="52" customFormat="1" ht="16.5" customHeight="1">
      <c r="A14" s="71" t="s">
        <v>945</v>
      </c>
      <c r="B14" s="62" t="s">
        <v>45</v>
      </c>
      <c r="C14" s="63" t="s">
        <v>41</v>
      </c>
      <c r="D14" s="57">
        <v>1</v>
      </c>
      <c r="E14" s="57">
        <v>1</v>
      </c>
      <c r="F14" s="55"/>
      <c r="G14" s="55"/>
      <c r="H14" s="64">
        <v>0</v>
      </c>
      <c r="I14" s="64">
        <v>0</v>
      </c>
      <c r="J14" s="353">
        <f>第一次變更詳細表!H171</f>
        <v>2216571</v>
      </c>
      <c r="K14" s="352">
        <f>第一次變更詳細表!K171</f>
        <v>2249127</v>
      </c>
      <c r="L14" s="352">
        <f>第一次變更詳細表!L171</f>
        <v>32556</v>
      </c>
      <c r="M14" s="352">
        <f>第一次變更詳細表!M171</f>
        <v>0</v>
      </c>
      <c r="N14" s="73"/>
    </row>
    <row r="15" spans="1:16" s="52" customFormat="1">
      <c r="A15" s="607" t="s">
        <v>46</v>
      </c>
      <c r="B15" s="608"/>
      <c r="C15" s="56"/>
      <c r="D15" s="55"/>
      <c r="E15" s="55"/>
      <c r="F15" s="55"/>
      <c r="G15" s="55"/>
      <c r="H15" s="75"/>
      <c r="I15" s="75"/>
      <c r="J15" s="353">
        <f>SUM(J7:J14)</f>
        <v>46548000</v>
      </c>
      <c r="K15" s="352">
        <f>第一次變更詳細表!K172</f>
        <v>47231665</v>
      </c>
      <c r="L15" s="352">
        <f t="shared" ref="L15:M15" si="0">SUM(L7:L14)</f>
        <v>10230330.880789792</v>
      </c>
      <c r="M15" s="352">
        <f t="shared" si="0"/>
        <v>9546666</v>
      </c>
      <c r="N15" s="74"/>
      <c r="O15" s="66">
        <f>K15-J15</f>
        <v>683665</v>
      </c>
      <c r="P15" s="67">
        <f>M15-L15</f>
        <v>-683664.88078979217</v>
      </c>
    </row>
    <row r="16" spans="1:16" s="52" customFormat="1" ht="32.450000000000003" customHeight="1">
      <c r="A16" s="71"/>
      <c r="B16" s="154"/>
      <c r="C16" s="56"/>
      <c r="D16" s="55"/>
      <c r="E16" s="55"/>
      <c r="F16" s="55"/>
      <c r="G16" s="55"/>
      <c r="H16" s="75"/>
      <c r="I16" s="75"/>
      <c r="J16" s="356"/>
      <c r="K16" s="357"/>
      <c r="L16" s="357"/>
      <c r="M16" s="357"/>
      <c r="N16" s="74"/>
      <c r="O16" s="66"/>
      <c r="P16" s="67"/>
    </row>
    <row r="17" spans="1:16" s="79" customFormat="1" ht="16.5" customHeight="1">
      <c r="A17" s="71" t="s">
        <v>321</v>
      </c>
      <c r="B17" s="62" t="s">
        <v>317</v>
      </c>
      <c r="C17" s="56" t="s">
        <v>47</v>
      </c>
      <c r="D17" s="57">
        <v>1</v>
      </c>
      <c r="E17" s="57">
        <v>1</v>
      </c>
      <c r="F17" s="55"/>
      <c r="G17" s="55"/>
      <c r="H17" s="64" t="s">
        <v>15</v>
      </c>
      <c r="I17" s="64" t="s">
        <v>15</v>
      </c>
      <c r="J17" s="358">
        <f>第一次變更詳細表!J174</f>
        <v>1168615</v>
      </c>
      <c r="K17" s="359">
        <f>第一次變更詳細表!K174</f>
        <v>1182586</v>
      </c>
      <c r="L17" s="359">
        <f>第一次變更詳細表!L174</f>
        <v>13971</v>
      </c>
      <c r="M17" s="359" t="str">
        <f>第一次變更詳細表!M174</f>
        <v/>
      </c>
      <c r="N17" s="76"/>
      <c r="O17" s="77"/>
      <c r="P17" s="78" t="s">
        <v>48</v>
      </c>
    </row>
    <row r="18" spans="1:16" s="79" customFormat="1" ht="16.5" customHeight="1">
      <c r="A18" s="71" t="s">
        <v>322</v>
      </c>
      <c r="B18" s="62" t="s">
        <v>318</v>
      </c>
      <c r="C18" s="56" t="s">
        <v>47</v>
      </c>
      <c r="D18" s="57">
        <v>1</v>
      </c>
      <c r="E18" s="57">
        <v>1</v>
      </c>
      <c r="F18" s="55"/>
      <c r="G18" s="55"/>
      <c r="H18" s="64"/>
      <c r="I18" s="64"/>
      <c r="J18" s="358">
        <f>第一次變更詳細表!J175</f>
        <v>124128</v>
      </c>
      <c r="K18" s="359">
        <f>第一次變更詳細表!K175</f>
        <v>335857</v>
      </c>
      <c r="L18" s="359">
        <f>第一次變更詳細表!L175</f>
        <v>211729</v>
      </c>
      <c r="M18" s="359" t="str">
        <f>第一次變更詳細表!M175</f>
        <v/>
      </c>
      <c r="N18" s="76"/>
      <c r="O18" s="77"/>
      <c r="P18" s="78"/>
    </row>
    <row r="19" spans="1:16" s="79" customFormat="1" ht="16.5">
      <c r="A19" s="71" t="s">
        <v>323</v>
      </c>
      <c r="B19" s="62" t="s">
        <v>319</v>
      </c>
      <c r="C19" s="56" t="s">
        <v>47</v>
      </c>
      <c r="D19" s="57">
        <v>1</v>
      </c>
      <c r="E19" s="57">
        <v>1</v>
      </c>
      <c r="F19" s="55"/>
      <c r="G19" s="55"/>
      <c r="H19" s="64" t="s">
        <v>15</v>
      </c>
      <c r="I19" s="64" t="s">
        <v>15</v>
      </c>
      <c r="J19" s="358">
        <f>第一次變更詳細表!J176</f>
        <v>100000</v>
      </c>
      <c r="K19" s="358">
        <f>第一次變更詳細表!K176</f>
        <v>100000</v>
      </c>
      <c r="L19" s="359">
        <f>第一次變更詳細表!L176</f>
        <v>0</v>
      </c>
      <c r="M19" s="359" t="str">
        <f>第一次變更詳細表!M176</f>
        <v/>
      </c>
      <c r="N19" s="76"/>
    </row>
    <row r="20" spans="1:16" s="79" customFormat="1" ht="16.5">
      <c r="A20" s="71" t="s">
        <v>324</v>
      </c>
      <c r="B20" s="62" t="s">
        <v>320</v>
      </c>
      <c r="C20" s="275" t="s">
        <v>47</v>
      </c>
      <c r="D20" s="57">
        <v>1</v>
      </c>
      <c r="E20" s="57">
        <v>1</v>
      </c>
      <c r="F20" s="55"/>
      <c r="G20" s="55"/>
      <c r="H20" s="64"/>
      <c r="I20" s="64"/>
      <c r="J20" s="358">
        <f>第一次變更詳細表!J177</f>
        <v>15000</v>
      </c>
      <c r="K20" s="358">
        <f>第一次變更詳細表!K177</f>
        <v>15000</v>
      </c>
      <c r="L20" s="359">
        <f>第一次變更詳細表!L177</f>
        <v>0</v>
      </c>
      <c r="M20" s="359" t="str">
        <f>第一次變更詳細表!M177</f>
        <v/>
      </c>
      <c r="N20" s="309"/>
    </row>
    <row r="21" spans="1:16" s="52" customFormat="1">
      <c r="A21" s="607" t="s">
        <v>49</v>
      </c>
      <c r="B21" s="608"/>
      <c r="C21" s="56"/>
      <c r="D21" s="55"/>
      <c r="E21" s="55"/>
      <c r="F21" s="55"/>
      <c r="G21" s="55"/>
      <c r="H21" s="75"/>
      <c r="I21" s="75"/>
      <c r="J21" s="356">
        <f>SUM(J15:J20)</f>
        <v>47955743</v>
      </c>
      <c r="K21" s="357">
        <f>SUM(K15:K20)</f>
        <v>48865108</v>
      </c>
      <c r="L21" s="357">
        <f>ROUND(SUM(L15:L20),0)</f>
        <v>10456031</v>
      </c>
      <c r="M21" s="357">
        <f>SUM(M7:M14)+SUM(M17:M19)</f>
        <v>9546666</v>
      </c>
      <c r="N21" s="74"/>
      <c r="O21" s="80">
        <f>K21-J21</f>
        <v>909365</v>
      </c>
      <c r="P21" s="81">
        <f>M21-L21</f>
        <v>-909365</v>
      </c>
    </row>
    <row r="22" spans="1:16" s="52" customFormat="1" ht="24" customHeight="1">
      <c r="A22" s="419"/>
      <c r="B22" s="603" t="s">
        <v>1354</v>
      </c>
      <c r="C22" s="605" t="s">
        <v>1355</v>
      </c>
      <c r="D22" s="605"/>
      <c r="E22" s="603" t="s">
        <v>1356</v>
      </c>
      <c r="F22" s="601">
        <f>L15-M15</f>
        <v>683664.88078979217</v>
      </c>
      <c r="G22" s="601"/>
      <c r="H22" s="603" t="s">
        <v>1356</v>
      </c>
      <c r="I22" s="598">
        <f>F22/F23</f>
        <v>1.4687309460982043E-2</v>
      </c>
      <c r="J22" s="425"/>
      <c r="K22" s="428"/>
      <c r="L22" s="420"/>
      <c r="M22" s="428"/>
      <c r="N22" s="421"/>
    </row>
    <row r="23" spans="1:16" ht="24" customHeight="1">
      <c r="A23" s="422"/>
      <c r="B23" s="604"/>
      <c r="C23" s="600" t="s">
        <v>1357</v>
      </c>
      <c r="D23" s="600"/>
      <c r="E23" s="604"/>
      <c r="F23" s="602">
        <f>J15</f>
        <v>46548000</v>
      </c>
      <c r="G23" s="602"/>
      <c r="H23" s="604"/>
      <c r="I23" s="599"/>
      <c r="J23" s="423"/>
      <c r="K23" s="423"/>
      <c r="L23" s="423"/>
      <c r="M23" s="423"/>
      <c r="N23" s="424"/>
    </row>
    <row r="24" spans="1:16" s="52" customFormat="1" ht="12.75"/>
    <row r="25" spans="1:16" s="52" customFormat="1" ht="12.75"/>
    <row r="26" spans="1:16" s="52" customFormat="1">
      <c r="B26" s="426" t="s">
        <v>1358</v>
      </c>
      <c r="G26" s="157"/>
    </row>
    <row r="27" spans="1:16" s="52" customFormat="1" ht="12.75"/>
  </sheetData>
  <mergeCells count="27">
    <mergeCell ref="E4:E5"/>
    <mergeCell ref="A1:N1"/>
    <mergeCell ref="A2:N2"/>
    <mergeCell ref="A3:E3"/>
    <mergeCell ref="J3:K3"/>
    <mergeCell ref="M3:N3"/>
    <mergeCell ref="B22:B23"/>
    <mergeCell ref="C22:D22"/>
    <mergeCell ref="E22:E23"/>
    <mergeCell ref="N4:N5"/>
    <mergeCell ref="A15:B15"/>
    <mergeCell ref="A21:B21"/>
    <mergeCell ref="F4:G4"/>
    <mergeCell ref="H4:H5"/>
    <mergeCell ref="I4:I5"/>
    <mergeCell ref="J4:J5"/>
    <mergeCell ref="K4:K5"/>
    <mergeCell ref="L4:M4"/>
    <mergeCell ref="A4:A5"/>
    <mergeCell ref="B4:B5"/>
    <mergeCell ref="C4:C5"/>
    <mergeCell ref="D4:D5"/>
    <mergeCell ref="I22:I23"/>
    <mergeCell ref="C23:D23"/>
    <mergeCell ref="F22:G22"/>
    <mergeCell ref="F23:G23"/>
    <mergeCell ref="H22:H23"/>
  </mergeCells>
  <phoneticPr fontId="5" type="noConversion"/>
  <pageMargins left="0.7" right="0.7" top="0.75" bottom="0.75" header="0.3" footer="0.3"/>
  <pageSetup paperSize="9" scale="73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187"/>
  <sheetViews>
    <sheetView view="pageBreakPreview" topLeftCell="B70" zoomScale="85" zoomScaleNormal="100" zoomScaleSheetLayoutView="85" workbookViewId="0">
      <selection activeCell="I88" sqref="I88"/>
    </sheetView>
  </sheetViews>
  <sheetFormatPr defaultColWidth="9.125" defaultRowHeight="16.5"/>
  <cols>
    <col min="1" max="1" width="12.5" style="96" customWidth="1"/>
    <col min="2" max="2" width="67.125" style="96" customWidth="1"/>
    <col min="3" max="3" width="5.5" style="96" customWidth="1"/>
    <col min="4" max="4" width="14" style="152" customWidth="1"/>
    <col min="5" max="5" width="14" style="153" customWidth="1"/>
    <col min="6" max="7" width="12.5" style="152" customWidth="1"/>
    <col min="8" max="9" width="13" style="152" customWidth="1"/>
    <col min="10" max="10" width="17.375" style="152" customWidth="1"/>
    <col min="11" max="11" width="17.375" style="153" customWidth="1"/>
    <col min="12" max="13" width="15.5" style="152" customWidth="1"/>
    <col min="14" max="14" width="8.5" style="96" customWidth="1"/>
    <col min="15" max="15" width="9.125" style="96"/>
    <col min="16" max="17" width="16.125" style="96" bestFit="1" customWidth="1"/>
    <col min="18" max="18" width="14.625" style="96" bestFit="1" customWidth="1"/>
    <col min="19" max="19" width="11.625" style="96" bestFit="1" customWidth="1"/>
    <col min="20" max="20" width="14.5" style="96" bestFit="1" customWidth="1"/>
    <col min="21" max="257" width="9.125" style="96"/>
    <col min="258" max="258" width="12.5" style="96" customWidth="1"/>
    <col min="259" max="259" width="47.625" style="96" customWidth="1"/>
    <col min="260" max="260" width="5.5" style="96" customWidth="1"/>
    <col min="261" max="262" width="13.375" style="96" customWidth="1"/>
    <col min="263" max="264" width="14.875" style="96" bestFit="1" customWidth="1"/>
    <col min="265" max="265" width="16.875" style="96" customWidth="1"/>
    <col min="266" max="267" width="18.5" style="96" customWidth="1"/>
    <col min="268" max="269" width="16.875" style="96" customWidth="1"/>
    <col min="270" max="271" width="9.125" style="96"/>
    <col min="272" max="273" width="16.125" style="96" bestFit="1" customWidth="1"/>
    <col min="274" max="513" width="9.125" style="96"/>
    <col min="514" max="514" width="12.5" style="96" customWidth="1"/>
    <col min="515" max="515" width="47.625" style="96" customWidth="1"/>
    <col min="516" max="516" width="5.5" style="96" customWidth="1"/>
    <col min="517" max="518" width="13.375" style="96" customWidth="1"/>
    <col min="519" max="520" width="14.875" style="96" bestFit="1" customWidth="1"/>
    <col min="521" max="521" width="16.875" style="96" customWidth="1"/>
    <col min="522" max="523" width="18.5" style="96" customWidth="1"/>
    <col min="524" max="525" width="16.875" style="96" customWidth="1"/>
    <col min="526" max="527" width="9.125" style="96"/>
    <col min="528" max="529" width="16.125" style="96" bestFit="1" customWidth="1"/>
    <col min="530" max="769" width="9.125" style="96"/>
    <col min="770" max="770" width="12.5" style="96" customWidth="1"/>
    <col min="771" max="771" width="47.625" style="96" customWidth="1"/>
    <col min="772" max="772" width="5.5" style="96" customWidth="1"/>
    <col min="773" max="774" width="13.375" style="96" customWidth="1"/>
    <col min="775" max="776" width="14.875" style="96" bestFit="1" customWidth="1"/>
    <col min="777" max="777" width="16.875" style="96" customWidth="1"/>
    <col min="778" max="779" width="18.5" style="96" customWidth="1"/>
    <col min="780" max="781" width="16.875" style="96" customWidth="1"/>
    <col min="782" max="783" width="9.125" style="96"/>
    <col min="784" max="785" width="16.125" style="96" bestFit="1" customWidth="1"/>
    <col min="786" max="1025" width="9.125" style="96"/>
    <col min="1026" max="1026" width="12.5" style="96" customWidth="1"/>
    <col min="1027" max="1027" width="47.625" style="96" customWidth="1"/>
    <col min="1028" max="1028" width="5.5" style="96" customWidth="1"/>
    <col min="1029" max="1030" width="13.375" style="96" customWidth="1"/>
    <col min="1031" max="1032" width="14.875" style="96" bestFit="1" customWidth="1"/>
    <col min="1033" max="1033" width="16.875" style="96" customWidth="1"/>
    <col min="1034" max="1035" width="18.5" style="96" customWidth="1"/>
    <col min="1036" max="1037" width="16.875" style="96" customWidth="1"/>
    <col min="1038" max="1039" width="9.125" style="96"/>
    <col min="1040" max="1041" width="16.125" style="96" bestFit="1" customWidth="1"/>
    <col min="1042" max="1281" width="9.125" style="96"/>
    <col min="1282" max="1282" width="12.5" style="96" customWidth="1"/>
    <col min="1283" max="1283" width="47.625" style="96" customWidth="1"/>
    <col min="1284" max="1284" width="5.5" style="96" customWidth="1"/>
    <col min="1285" max="1286" width="13.375" style="96" customWidth="1"/>
    <col min="1287" max="1288" width="14.875" style="96" bestFit="1" customWidth="1"/>
    <col min="1289" max="1289" width="16.875" style="96" customWidth="1"/>
    <col min="1290" max="1291" width="18.5" style="96" customWidth="1"/>
    <col min="1292" max="1293" width="16.875" style="96" customWidth="1"/>
    <col min="1294" max="1295" width="9.125" style="96"/>
    <col min="1296" max="1297" width="16.125" style="96" bestFit="1" customWidth="1"/>
    <col min="1298" max="1537" width="9.125" style="96"/>
    <col min="1538" max="1538" width="12.5" style="96" customWidth="1"/>
    <col min="1539" max="1539" width="47.625" style="96" customWidth="1"/>
    <col min="1540" max="1540" width="5.5" style="96" customWidth="1"/>
    <col min="1541" max="1542" width="13.375" style="96" customWidth="1"/>
    <col min="1543" max="1544" width="14.875" style="96" bestFit="1" customWidth="1"/>
    <col min="1545" max="1545" width="16.875" style="96" customWidth="1"/>
    <col min="1546" max="1547" width="18.5" style="96" customWidth="1"/>
    <col min="1548" max="1549" width="16.875" style="96" customWidth="1"/>
    <col min="1550" max="1551" width="9.125" style="96"/>
    <col min="1552" max="1553" width="16.125" style="96" bestFit="1" customWidth="1"/>
    <col min="1554" max="1793" width="9.125" style="96"/>
    <col min="1794" max="1794" width="12.5" style="96" customWidth="1"/>
    <col min="1795" max="1795" width="47.625" style="96" customWidth="1"/>
    <col min="1796" max="1796" width="5.5" style="96" customWidth="1"/>
    <col min="1797" max="1798" width="13.375" style="96" customWidth="1"/>
    <col min="1799" max="1800" width="14.875" style="96" bestFit="1" customWidth="1"/>
    <col min="1801" max="1801" width="16.875" style="96" customWidth="1"/>
    <col min="1802" max="1803" width="18.5" style="96" customWidth="1"/>
    <col min="1804" max="1805" width="16.875" style="96" customWidth="1"/>
    <col min="1806" max="1807" width="9.125" style="96"/>
    <col min="1808" max="1809" width="16.125" style="96" bestFit="1" customWidth="1"/>
    <col min="1810" max="2049" width="9.125" style="96"/>
    <col min="2050" max="2050" width="12.5" style="96" customWidth="1"/>
    <col min="2051" max="2051" width="47.625" style="96" customWidth="1"/>
    <col min="2052" max="2052" width="5.5" style="96" customWidth="1"/>
    <col min="2053" max="2054" width="13.375" style="96" customWidth="1"/>
    <col min="2055" max="2056" width="14.875" style="96" bestFit="1" customWidth="1"/>
    <col min="2057" max="2057" width="16.875" style="96" customWidth="1"/>
    <col min="2058" max="2059" width="18.5" style="96" customWidth="1"/>
    <col min="2060" max="2061" width="16.875" style="96" customWidth="1"/>
    <col min="2062" max="2063" width="9.125" style="96"/>
    <col min="2064" max="2065" width="16.125" style="96" bestFit="1" customWidth="1"/>
    <col min="2066" max="2305" width="9.125" style="96"/>
    <col min="2306" max="2306" width="12.5" style="96" customWidth="1"/>
    <col min="2307" max="2307" width="47.625" style="96" customWidth="1"/>
    <col min="2308" max="2308" width="5.5" style="96" customWidth="1"/>
    <col min="2309" max="2310" width="13.375" style="96" customWidth="1"/>
    <col min="2311" max="2312" width="14.875" style="96" bestFit="1" customWidth="1"/>
    <col min="2313" max="2313" width="16.875" style="96" customWidth="1"/>
    <col min="2314" max="2315" width="18.5" style="96" customWidth="1"/>
    <col min="2316" max="2317" width="16.875" style="96" customWidth="1"/>
    <col min="2318" max="2319" width="9.125" style="96"/>
    <col min="2320" max="2321" width="16.125" style="96" bestFit="1" customWidth="1"/>
    <col min="2322" max="2561" width="9.125" style="96"/>
    <col min="2562" max="2562" width="12.5" style="96" customWidth="1"/>
    <col min="2563" max="2563" width="47.625" style="96" customWidth="1"/>
    <col min="2564" max="2564" width="5.5" style="96" customWidth="1"/>
    <col min="2565" max="2566" width="13.375" style="96" customWidth="1"/>
    <col min="2567" max="2568" width="14.875" style="96" bestFit="1" customWidth="1"/>
    <col min="2569" max="2569" width="16.875" style="96" customWidth="1"/>
    <col min="2570" max="2571" width="18.5" style="96" customWidth="1"/>
    <col min="2572" max="2573" width="16.875" style="96" customWidth="1"/>
    <col min="2574" max="2575" width="9.125" style="96"/>
    <col min="2576" max="2577" width="16.125" style="96" bestFit="1" customWidth="1"/>
    <col min="2578" max="2817" width="9.125" style="96"/>
    <col min="2818" max="2818" width="12.5" style="96" customWidth="1"/>
    <col min="2819" max="2819" width="47.625" style="96" customWidth="1"/>
    <col min="2820" max="2820" width="5.5" style="96" customWidth="1"/>
    <col min="2821" max="2822" width="13.375" style="96" customWidth="1"/>
    <col min="2823" max="2824" width="14.875" style="96" bestFit="1" customWidth="1"/>
    <col min="2825" max="2825" width="16.875" style="96" customWidth="1"/>
    <col min="2826" max="2827" width="18.5" style="96" customWidth="1"/>
    <col min="2828" max="2829" width="16.875" style="96" customWidth="1"/>
    <col min="2830" max="2831" width="9.125" style="96"/>
    <col min="2832" max="2833" width="16.125" style="96" bestFit="1" customWidth="1"/>
    <col min="2834" max="3073" width="9.125" style="96"/>
    <col min="3074" max="3074" width="12.5" style="96" customWidth="1"/>
    <col min="3075" max="3075" width="47.625" style="96" customWidth="1"/>
    <col min="3076" max="3076" width="5.5" style="96" customWidth="1"/>
    <col min="3077" max="3078" width="13.375" style="96" customWidth="1"/>
    <col min="3079" max="3080" width="14.875" style="96" bestFit="1" customWidth="1"/>
    <col min="3081" max="3081" width="16.875" style="96" customWidth="1"/>
    <col min="3082" max="3083" width="18.5" style="96" customWidth="1"/>
    <col min="3084" max="3085" width="16.875" style="96" customWidth="1"/>
    <col min="3086" max="3087" width="9.125" style="96"/>
    <col min="3088" max="3089" width="16.125" style="96" bestFit="1" customWidth="1"/>
    <col min="3090" max="3329" width="9.125" style="96"/>
    <col min="3330" max="3330" width="12.5" style="96" customWidth="1"/>
    <col min="3331" max="3331" width="47.625" style="96" customWidth="1"/>
    <col min="3332" max="3332" width="5.5" style="96" customWidth="1"/>
    <col min="3333" max="3334" width="13.375" style="96" customWidth="1"/>
    <col min="3335" max="3336" width="14.875" style="96" bestFit="1" customWidth="1"/>
    <col min="3337" max="3337" width="16.875" style="96" customWidth="1"/>
    <col min="3338" max="3339" width="18.5" style="96" customWidth="1"/>
    <col min="3340" max="3341" width="16.875" style="96" customWidth="1"/>
    <col min="3342" max="3343" width="9.125" style="96"/>
    <col min="3344" max="3345" width="16.125" style="96" bestFit="1" customWidth="1"/>
    <col min="3346" max="3585" width="9.125" style="96"/>
    <col min="3586" max="3586" width="12.5" style="96" customWidth="1"/>
    <col min="3587" max="3587" width="47.625" style="96" customWidth="1"/>
    <col min="3588" max="3588" width="5.5" style="96" customWidth="1"/>
    <col min="3589" max="3590" width="13.375" style="96" customWidth="1"/>
    <col min="3591" max="3592" width="14.875" style="96" bestFit="1" customWidth="1"/>
    <col min="3593" max="3593" width="16.875" style="96" customWidth="1"/>
    <col min="3594" max="3595" width="18.5" style="96" customWidth="1"/>
    <col min="3596" max="3597" width="16.875" style="96" customWidth="1"/>
    <col min="3598" max="3599" width="9.125" style="96"/>
    <col min="3600" max="3601" width="16.125" style="96" bestFit="1" customWidth="1"/>
    <col min="3602" max="3841" width="9.125" style="96"/>
    <col min="3842" max="3842" width="12.5" style="96" customWidth="1"/>
    <col min="3843" max="3843" width="47.625" style="96" customWidth="1"/>
    <col min="3844" max="3844" width="5.5" style="96" customWidth="1"/>
    <col min="3845" max="3846" width="13.375" style="96" customWidth="1"/>
    <col min="3847" max="3848" width="14.875" style="96" bestFit="1" customWidth="1"/>
    <col min="3849" max="3849" width="16.875" style="96" customWidth="1"/>
    <col min="3850" max="3851" width="18.5" style="96" customWidth="1"/>
    <col min="3852" max="3853" width="16.875" style="96" customWidth="1"/>
    <col min="3854" max="3855" width="9.125" style="96"/>
    <col min="3856" max="3857" width="16.125" style="96" bestFit="1" customWidth="1"/>
    <col min="3858" max="4097" width="9.125" style="96"/>
    <col min="4098" max="4098" width="12.5" style="96" customWidth="1"/>
    <col min="4099" max="4099" width="47.625" style="96" customWidth="1"/>
    <col min="4100" max="4100" width="5.5" style="96" customWidth="1"/>
    <col min="4101" max="4102" width="13.375" style="96" customWidth="1"/>
    <col min="4103" max="4104" width="14.875" style="96" bestFit="1" customWidth="1"/>
    <col min="4105" max="4105" width="16.875" style="96" customWidth="1"/>
    <col min="4106" max="4107" width="18.5" style="96" customWidth="1"/>
    <col min="4108" max="4109" width="16.875" style="96" customWidth="1"/>
    <col min="4110" max="4111" width="9.125" style="96"/>
    <col min="4112" max="4113" width="16.125" style="96" bestFit="1" customWidth="1"/>
    <col min="4114" max="4353" width="9.125" style="96"/>
    <col min="4354" max="4354" width="12.5" style="96" customWidth="1"/>
    <col min="4355" max="4355" width="47.625" style="96" customWidth="1"/>
    <col min="4356" max="4356" width="5.5" style="96" customWidth="1"/>
    <col min="4357" max="4358" width="13.375" style="96" customWidth="1"/>
    <col min="4359" max="4360" width="14.875" style="96" bestFit="1" customWidth="1"/>
    <col min="4361" max="4361" width="16.875" style="96" customWidth="1"/>
    <col min="4362" max="4363" width="18.5" style="96" customWidth="1"/>
    <col min="4364" max="4365" width="16.875" style="96" customWidth="1"/>
    <col min="4366" max="4367" width="9.125" style="96"/>
    <col min="4368" max="4369" width="16.125" style="96" bestFit="1" customWidth="1"/>
    <col min="4370" max="4609" width="9.125" style="96"/>
    <col min="4610" max="4610" width="12.5" style="96" customWidth="1"/>
    <col min="4611" max="4611" width="47.625" style="96" customWidth="1"/>
    <col min="4612" max="4612" width="5.5" style="96" customWidth="1"/>
    <col min="4613" max="4614" width="13.375" style="96" customWidth="1"/>
    <col min="4615" max="4616" width="14.875" style="96" bestFit="1" customWidth="1"/>
    <col min="4617" max="4617" width="16.875" style="96" customWidth="1"/>
    <col min="4618" max="4619" width="18.5" style="96" customWidth="1"/>
    <col min="4620" max="4621" width="16.875" style="96" customWidth="1"/>
    <col min="4622" max="4623" width="9.125" style="96"/>
    <col min="4624" max="4625" width="16.125" style="96" bestFit="1" customWidth="1"/>
    <col min="4626" max="4865" width="9.125" style="96"/>
    <col min="4866" max="4866" width="12.5" style="96" customWidth="1"/>
    <col min="4867" max="4867" width="47.625" style="96" customWidth="1"/>
    <col min="4868" max="4868" width="5.5" style="96" customWidth="1"/>
    <col min="4869" max="4870" width="13.375" style="96" customWidth="1"/>
    <col min="4871" max="4872" width="14.875" style="96" bestFit="1" customWidth="1"/>
    <col min="4873" max="4873" width="16.875" style="96" customWidth="1"/>
    <col min="4874" max="4875" width="18.5" style="96" customWidth="1"/>
    <col min="4876" max="4877" width="16.875" style="96" customWidth="1"/>
    <col min="4878" max="4879" width="9.125" style="96"/>
    <col min="4880" max="4881" width="16.125" style="96" bestFit="1" customWidth="1"/>
    <col min="4882" max="5121" width="9.125" style="96"/>
    <col min="5122" max="5122" width="12.5" style="96" customWidth="1"/>
    <col min="5123" max="5123" width="47.625" style="96" customWidth="1"/>
    <col min="5124" max="5124" width="5.5" style="96" customWidth="1"/>
    <col min="5125" max="5126" width="13.375" style="96" customWidth="1"/>
    <col min="5127" max="5128" width="14.875" style="96" bestFit="1" customWidth="1"/>
    <col min="5129" max="5129" width="16.875" style="96" customWidth="1"/>
    <col min="5130" max="5131" width="18.5" style="96" customWidth="1"/>
    <col min="5132" max="5133" width="16.875" style="96" customWidth="1"/>
    <col min="5134" max="5135" width="9.125" style="96"/>
    <col min="5136" max="5137" width="16.125" style="96" bestFit="1" customWidth="1"/>
    <col min="5138" max="5377" width="9.125" style="96"/>
    <col min="5378" max="5378" width="12.5" style="96" customWidth="1"/>
    <col min="5379" max="5379" width="47.625" style="96" customWidth="1"/>
    <col min="5380" max="5380" width="5.5" style="96" customWidth="1"/>
    <col min="5381" max="5382" width="13.375" style="96" customWidth="1"/>
    <col min="5383" max="5384" width="14.875" style="96" bestFit="1" customWidth="1"/>
    <col min="5385" max="5385" width="16.875" style="96" customWidth="1"/>
    <col min="5386" max="5387" width="18.5" style="96" customWidth="1"/>
    <col min="5388" max="5389" width="16.875" style="96" customWidth="1"/>
    <col min="5390" max="5391" width="9.125" style="96"/>
    <col min="5392" max="5393" width="16.125" style="96" bestFit="1" customWidth="1"/>
    <col min="5394" max="5633" width="9.125" style="96"/>
    <col min="5634" max="5634" width="12.5" style="96" customWidth="1"/>
    <col min="5635" max="5635" width="47.625" style="96" customWidth="1"/>
    <col min="5636" max="5636" width="5.5" style="96" customWidth="1"/>
    <col min="5637" max="5638" width="13.375" style="96" customWidth="1"/>
    <col min="5639" max="5640" width="14.875" style="96" bestFit="1" customWidth="1"/>
    <col min="5641" max="5641" width="16.875" style="96" customWidth="1"/>
    <col min="5642" max="5643" width="18.5" style="96" customWidth="1"/>
    <col min="5644" max="5645" width="16.875" style="96" customWidth="1"/>
    <col min="5646" max="5647" width="9.125" style="96"/>
    <col min="5648" max="5649" width="16.125" style="96" bestFit="1" customWidth="1"/>
    <col min="5650" max="5889" width="9.125" style="96"/>
    <col min="5890" max="5890" width="12.5" style="96" customWidth="1"/>
    <col min="5891" max="5891" width="47.625" style="96" customWidth="1"/>
    <col min="5892" max="5892" width="5.5" style="96" customWidth="1"/>
    <col min="5893" max="5894" width="13.375" style="96" customWidth="1"/>
    <col min="5895" max="5896" width="14.875" style="96" bestFit="1" customWidth="1"/>
    <col min="5897" max="5897" width="16.875" style="96" customWidth="1"/>
    <col min="5898" max="5899" width="18.5" style="96" customWidth="1"/>
    <col min="5900" max="5901" width="16.875" style="96" customWidth="1"/>
    <col min="5902" max="5903" width="9.125" style="96"/>
    <col min="5904" max="5905" width="16.125" style="96" bestFit="1" customWidth="1"/>
    <col min="5906" max="6145" width="9.125" style="96"/>
    <col min="6146" max="6146" width="12.5" style="96" customWidth="1"/>
    <col min="6147" max="6147" width="47.625" style="96" customWidth="1"/>
    <col min="6148" max="6148" width="5.5" style="96" customWidth="1"/>
    <col min="6149" max="6150" width="13.375" style="96" customWidth="1"/>
    <col min="6151" max="6152" width="14.875" style="96" bestFit="1" customWidth="1"/>
    <col min="6153" max="6153" width="16.875" style="96" customWidth="1"/>
    <col min="6154" max="6155" width="18.5" style="96" customWidth="1"/>
    <col min="6156" max="6157" width="16.875" style="96" customWidth="1"/>
    <col min="6158" max="6159" width="9.125" style="96"/>
    <col min="6160" max="6161" width="16.125" style="96" bestFit="1" customWidth="1"/>
    <col min="6162" max="6401" width="9.125" style="96"/>
    <col min="6402" max="6402" width="12.5" style="96" customWidth="1"/>
    <col min="6403" max="6403" width="47.625" style="96" customWidth="1"/>
    <col min="6404" max="6404" width="5.5" style="96" customWidth="1"/>
    <col min="6405" max="6406" width="13.375" style="96" customWidth="1"/>
    <col min="6407" max="6408" width="14.875" style="96" bestFit="1" customWidth="1"/>
    <col min="6409" max="6409" width="16.875" style="96" customWidth="1"/>
    <col min="6410" max="6411" width="18.5" style="96" customWidth="1"/>
    <col min="6412" max="6413" width="16.875" style="96" customWidth="1"/>
    <col min="6414" max="6415" width="9.125" style="96"/>
    <col min="6416" max="6417" width="16.125" style="96" bestFit="1" customWidth="1"/>
    <col min="6418" max="6657" width="9.125" style="96"/>
    <col min="6658" max="6658" width="12.5" style="96" customWidth="1"/>
    <col min="6659" max="6659" width="47.625" style="96" customWidth="1"/>
    <col min="6660" max="6660" width="5.5" style="96" customWidth="1"/>
    <col min="6661" max="6662" width="13.375" style="96" customWidth="1"/>
    <col min="6663" max="6664" width="14.875" style="96" bestFit="1" customWidth="1"/>
    <col min="6665" max="6665" width="16.875" style="96" customWidth="1"/>
    <col min="6666" max="6667" width="18.5" style="96" customWidth="1"/>
    <col min="6668" max="6669" width="16.875" style="96" customWidth="1"/>
    <col min="6670" max="6671" width="9.125" style="96"/>
    <col min="6672" max="6673" width="16.125" style="96" bestFit="1" customWidth="1"/>
    <col min="6674" max="6913" width="9.125" style="96"/>
    <col min="6914" max="6914" width="12.5" style="96" customWidth="1"/>
    <col min="6915" max="6915" width="47.625" style="96" customWidth="1"/>
    <col min="6916" max="6916" width="5.5" style="96" customWidth="1"/>
    <col min="6917" max="6918" width="13.375" style="96" customWidth="1"/>
    <col min="6919" max="6920" width="14.875" style="96" bestFit="1" customWidth="1"/>
    <col min="6921" max="6921" width="16.875" style="96" customWidth="1"/>
    <col min="6922" max="6923" width="18.5" style="96" customWidth="1"/>
    <col min="6924" max="6925" width="16.875" style="96" customWidth="1"/>
    <col min="6926" max="6927" width="9.125" style="96"/>
    <col min="6928" max="6929" width="16.125" style="96" bestFit="1" customWidth="1"/>
    <col min="6930" max="7169" width="9.125" style="96"/>
    <col min="7170" max="7170" width="12.5" style="96" customWidth="1"/>
    <col min="7171" max="7171" width="47.625" style="96" customWidth="1"/>
    <col min="7172" max="7172" width="5.5" style="96" customWidth="1"/>
    <col min="7173" max="7174" width="13.375" style="96" customWidth="1"/>
    <col min="7175" max="7176" width="14.875" style="96" bestFit="1" customWidth="1"/>
    <col min="7177" max="7177" width="16.875" style="96" customWidth="1"/>
    <col min="7178" max="7179" width="18.5" style="96" customWidth="1"/>
    <col min="7180" max="7181" width="16.875" style="96" customWidth="1"/>
    <col min="7182" max="7183" width="9.125" style="96"/>
    <col min="7184" max="7185" width="16.125" style="96" bestFit="1" customWidth="1"/>
    <col min="7186" max="7425" width="9.125" style="96"/>
    <col min="7426" max="7426" width="12.5" style="96" customWidth="1"/>
    <col min="7427" max="7427" width="47.625" style="96" customWidth="1"/>
    <col min="7428" max="7428" width="5.5" style="96" customWidth="1"/>
    <col min="7429" max="7430" width="13.375" style="96" customWidth="1"/>
    <col min="7431" max="7432" width="14.875" style="96" bestFit="1" customWidth="1"/>
    <col min="7433" max="7433" width="16.875" style="96" customWidth="1"/>
    <col min="7434" max="7435" width="18.5" style="96" customWidth="1"/>
    <col min="7436" max="7437" width="16.875" style="96" customWidth="1"/>
    <col min="7438" max="7439" width="9.125" style="96"/>
    <col min="7440" max="7441" width="16.125" style="96" bestFit="1" customWidth="1"/>
    <col min="7442" max="7681" width="9.125" style="96"/>
    <col min="7682" max="7682" width="12.5" style="96" customWidth="1"/>
    <col min="7683" max="7683" width="47.625" style="96" customWidth="1"/>
    <col min="7684" max="7684" width="5.5" style="96" customWidth="1"/>
    <col min="7685" max="7686" width="13.375" style="96" customWidth="1"/>
    <col min="7687" max="7688" width="14.875" style="96" bestFit="1" customWidth="1"/>
    <col min="7689" max="7689" width="16.875" style="96" customWidth="1"/>
    <col min="7690" max="7691" width="18.5" style="96" customWidth="1"/>
    <col min="7692" max="7693" width="16.875" style="96" customWidth="1"/>
    <col min="7694" max="7695" width="9.125" style="96"/>
    <col min="7696" max="7697" width="16.125" style="96" bestFit="1" customWidth="1"/>
    <col min="7698" max="7937" width="9.125" style="96"/>
    <col min="7938" max="7938" width="12.5" style="96" customWidth="1"/>
    <col min="7939" max="7939" width="47.625" style="96" customWidth="1"/>
    <col min="7940" max="7940" width="5.5" style="96" customWidth="1"/>
    <col min="7941" max="7942" width="13.375" style="96" customWidth="1"/>
    <col min="7943" max="7944" width="14.875" style="96" bestFit="1" customWidth="1"/>
    <col min="7945" max="7945" width="16.875" style="96" customWidth="1"/>
    <col min="7946" max="7947" width="18.5" style="96" customWidth="1"/>
    <col min="7948" max="7949" width="16.875" style="96" customWidth="1"/>
    <col min="7950" max="7951" width="9.125" style="96"/>
    <col min="7952" max="7953" width="16.125" style="96" bestFit="1" customWidth="1"/>
    <col min="7954" max="8193" width="9.125" style="96"/>
    <col min="8194" max="8194" width="12.5" style="96" customWidth="1"/>
    <col min="8195" max="8195" width="47.625" style="96" customWidth="1"/>
    <col min="8196" max="8196" width="5.5" style="96" customWidth="1"/>
    <col min="8197" max="8198" width="13.375" style="96" customWidth="1"/>
    <col min="8199" max="8200" width="14.875" style="96" bestFit="1" customWidth="1"/>
    <col min="8201" max="8201" width="16.875" style="96" customWidth="1"/>
    <col min="8202" max="8203" width="18.5" style="96" customWidth="1"/>
    <col min="8204" max="8205" width="16.875" style="96" customWidth="1"/>
    <col min="8206" max="8207" width="9.125" style="96"/>
    <col min="8208" max="8209" width="16.125" style="96" bestFit="1" customWidth="1"/>
    <col min="8210" max="8449" width="9.125" style="96"/>
    <col min="8450" max="8450" width="12.5" style="96" customWidth="1"/>
    <col min="8451" max="8451" width="47.625" style="96" customWidth="1"/>
    <col min="8452" max="8452" width="5.5" style="96" customWidth="1"/>
    <col min="8453" max="8454" width="13.375" style="96" customWidth="1"/>
    <col min="8455" max="8456" width="14.875" style="96" bestFit="1" customWidth="1"/>
    <col min="8457" max="8457" width="16.875" style="96" customWidth="1"/>
    <col min="8458" max="8459" width="18.5" style="96" customWidth="1"/>
    <col min="8460" max="8461" width="16.875" style="96" customWidth="1"/>
    <col min="8462" max="8463" width="9.125" style="96"/>
    <col min="8464" max="8465" width="16.125" style="96" bestFit="1" customWidth="1"/>
    <col min="8466" max="8705" width="9.125" style="96"/>
    <col min="8706" max="8706" width="12.5" style="96" customWidth="1"/>
    <col min="8707" max="8707" width="47.625" style="96" customWidth="1"/>
    <col min="8708" max="8708" width="5.5" style="96" customWidth="1"/>
    <col min="8709" max="8710" width="13.375" style="96" customWidth="1"/>
    <col min="8711" max="8712" width="14.875" style="96" bestFit="1" customWidth="1"/>
    <col min="8713" max="8713" width="16.875" style="96" customWidth="1"/>
    <col min="8714" max="8715" width="18.5" style="96" customWidth="1"/>
    <col min="8716" max="8717" width="16.875" style="96" customWidth="1"/>
    <col min="8718" max="8719" width="9.125" style="96"/>
    <col min="8720" max="8721" width="16.125" style="96" bestFit="1" customWidth="1"/>
    <col min="8722" max="8961" width="9.125" style="96"/>
    <col min="8962" max="8962" width="12.5" style="96" customWidth="1"/>
    <col min="8963" max="8963" width="47.625" style="96" customWidth="1"/>
    <col min="8964" max="8964" width="5.5" style="96" customWidth="1"/>
    <col min="8965" max="8966" width="13.375" style="96" customWidth="1"/>
    <col min="8967" max="8968" width="14.875" style="96" bestFit="1" customWidth="1"/>
    <col min="8969" max="8969" width="16.875" style="96" customWidth="1"/>
    <col min="8970" max="8971" width="18.5" style="96" customWidth="1"/>
    <col min="8972" max="8973" width="16.875" style="96" customWidth="1"/>
    <col min="8974" max="8975" width="9.125" style="96"/>
    <col min="8976" max="8977" width="16.125" style="96" bestFit="1" customWidth="1"/>
    <col min="8978" max="9217" width="9.125" style="96"/>
    <col min="9218" max="9218" width="12.5" style="96" customWidth="1"/>
    <col min="9219" max="9219" width="47.625" style="96" customWidth="1"/>
    <col min="9220" max="9220" width="5.5" style="96" customWidth="1"/>
    <col min="9221" max="9222" width="13.375" style="96" customWidth="1"/>
    <col min="9223" max="9224" width="14.875" style="96" bestFit="1" customWidth="1"/>
    <col min="9225" max="9225" width="16.875" style="96" customWidth="1"/>
    <col min="9226" max="9227" width="18.5" style="96" customWidth="1"/>
    <col min="9228" max="9229" width="16.875" style="96" customWidth="1"/>
    <col min="9230" max="9231" width="9.125" style="96"/>
    <col min="9232" max="9233" width="16.125" style="96" bestFit="1" customWidth="1"/>
    <col min="9234" max="9473" width="9.125" style="96"/>
    <col min="9474" max="9474" width="12.5" style="96" customWidth="1"/>
    <col min="9475" max="9475" width="47.625" style="96" customWidth="1"/>
    <col min="9476" max="9476" width="5.5" style="96" customWidth="1"/>
    <col min="9477" max="9478" width="13.375" style="96" customWidth="1"/>
    <col min="9479" max="9480" width="14.875" style="96" bestFit="1" customWidth="1"/>
    <col min="9481" max="9481" width="16.875" style="96" customWidth="1"/>
    <col min="9482" max="9483" width="18.5" style="96" customWidth="1"/>
    <col min="9484" max="9485" width="16.875" style="96" customWidth="1"/>
    <col min="9486" max="9487" width="9.125" style="96"/>
    <col min="9488" max="9489" width="16.125" style="96" bestFit="1" customWidth="1"/>
    <col min="9490" max="9729" width="9.125" style="96"/>
    <col min="9730" max="9730" width="12.5" style="96" customWidth="1"/>
    <col min="9731" max="9731" width="47.625" style="96" customWidth="1"/>
    <col min="9732" max="9732" width="5.5" style="96" customWidth="1"/>
    <col min="9733" max="9734" width="13.375" style="96" customWidth="1"/>
    <col min="9735" max="9736" width="14.875" style="96" bestFit="1" customWidth="1"/>
    <col min="9737" max="9737" width="16.875" style="96" customWidth="1"/>
    <col min="9738" max="9739" width="18.5" style="96" customWidth="1"/>
    <col min="9740" max="9741" width="16.875" style="96" customWidth="1"/>
    <col min="9742" max="9743" width="9.125" style="96"/>
    <col min="9744" max="9745" width="16.125" style="96" bestFit="1" customWidth="1"/>
    <col min="9746" max="9985" width="9.125" style="96"/>
    <col min="9986" max="9986" width="12.5" style="96" customWidth="1"/>
    <col min="9987" max="9987" width="47.625" style="96" customWidth="1"/>
    <col min="9988" max="9988" width="5.5" style="96" customWidth="1"/>
    <col min="9989" max="9990" width="13.375" style="96" customWidth="1"/>
    <col min="9991" max="9992" width="14.875" style="96" bestFit="1" customWidth="1"/>
    <col min="9993" max="9993" width="16.875" style="96" customWidth="1"/>
    <col min="9994" max="9995" width="18.5" style="96" customWidth="1"/>
    <col min="9996" max="9997" width="16.875" style="96" customWidth="1"/>
    <col min="9998" max="9999" width="9.125" style="96"/>
    <col min="10000" max="10001" width="16.125" style="96" bestFit="1" customWidth="1"/>
    <col min="10002" max="10241" width="9.125" style="96"/>
    <col min="10242" max="10242" width="12.5" style="96" customWidth="1"/>
    <col min="10243" max="10243" width="47.625" style="96" customWidth="1"/>
    <col min="10244" max="10244" width="5.5" style="96" customWidth="1"/>
    <col min="10245" max="10246" width="13.375" style="96" customWidth="1"/>
    <col min="10247" max="10248" width="14.875" style="96" bestFit="1" customWidth="1"/>
    <col min="10249" max="10249" width="16.875" style="96" customWidth="1"/>
    <col min="10250" max="10251" width="18.5" style="96" customWidth="1"/>
    <col min="10252" max="10253" width="16.875" style="96" customWidth="1"/>
    <col min="10254" max="10255" width="9.125" style="96"/>
    <col min="10256" max="10257" width="16.125" style="96" bestFit="1" customWidth="1"/>
    <col min="10258" max="10497" width="9.125" style="96"/>
    <col min="10498" max="10498" width="12.5" style="96" customWidth="1"/>
    <col min="10499" max="10499" width="47.625" style="96" customWidth="1"/>
    <col min="10500" max="10500" width="5.5" style="96" customWidth="1"/>
    <col min="10501" max="10502" width="13.375" style="96" customWidth="1"/>
    <col min="10503" max="10504" width="14.875" style="96" bestFit="1" customWidth="1"/>
    <col min="10505" max="10505" width="16.875" style="96" customWidth="1"/>
    <col min="10506" max="10507" width="18.5" style="96" customWidth="1"/>
    <col min="10508" max="10509" width="16.875" style="96" customWidth="1"/>
    <col min="10510" max="10511" width="9.125" style="96"/>
    <col min="10512" max="10513" width="16.125" style="96" bestFit="1" customWidth="1"/>
    <col min="10514" max="10753" width="9.125" style="96"/>
    <col min="10754" max="10754" width="12.5" style="96" customWidth="1"/>
    <col min="10755" max="10755" width="47.625" style="96" customWidth="1"/>
    <col min="10756" max="10756" width="5.5" style="96" customWidth="1"/>
    <col min="10757" max="10758" width="13.375" style="96" customWidth="1"/>
    <col min="10759" max="10760" width="14.875" style="96" bestFit="1" customWidth="1"/>
    <col min="10761" max="10761" width="16.875" style="96" customWidth="1"/>
    <col min="10762" max="10763" width="18.5" style="96" customWidth="1"/>
    <col min="10764" max="10765" width="16.875" style="96" customWidth="1"/>
    <col min="10766" max="10767" width="9.125" style="96"/>
    <col min="10768" max="10769" width="16.125" style="96" bestFit="1" customWidth="1"/>
    <col min="10770" max="11009" width="9.125" style="96"/>
    <col min="11010" max="11010" width="12.5" style="96" customWidth="1"/>
    <col min="11011" max="11011" width="47.625" style="96" customWidth="1"/>
    <col min="11012" max="11012" width="5.5" style="96" customWidth="1"/>
    <col min="11013" max="11014" width="13.375" style="96" customWidth="1"/>
    <col min="11015" max="11016" width="14.875" style="96" bestFit="1" customWidth="1"/>
    <col min="11017" max="11017" width="16.875" style="96" customWidth="1"/>
    <col min="11018" max="11019" width="18.5" style="96" customWidth="1"/>
    <col min="11020" max="11021" width="16.875" style="96" customWidth="1"/>
    <col min="11022" max="11023" width="9.125" style="96"/>
    <col min="11024" max="11025" width="16.125" style="96" bestFit="1" customWidth="1"/>
    <col min="11026" max="11265" width="9.125" style="96"/>
    <col min="11266" max="11266" width="12.5" style="96" customWidth="1"/>
    <col min="11267" max="11267" width="47.625" style="96" customWidth="1"/>
    <col min="11268" max="11268" width="5.5" style="96" customWidth="1"/>
    <col min="11269" max="11270" width="13.375" style="96" customWidth="1"/>
    <col min="11271" max="11272" width="14.875" style="96" bestFit="1" customWidth="1"/>
    <col min="11273" max="11273" width="16.875" style="96" customWidth="1"/>
    <col min="11274" max="11275" width="18.5" style="96" customWidth="1"/>
    <col min="11276" max="11277" width="16.875" style="96" customWidth="1"/>
    <col min="11278" max="11279" width="9.125" style="96"/>
    <col min="11280" max="11281" width="16.125" style="96" bestFit="1" customWidth="1"/>
    <col min="11282" max="11521" width="9.125" style="96"/>
    <col min="11522" max="11522" width="12.5" style="96" customWidth="1"/>
    <col min="11523" max="11523" width="47.625" style="96" customWidth="1"/>
    <col min="11524" max="11524" width="5.5" style="96" customWidth="1"/>
    <col min="11525" max="11526" width="13.375" style="96" customWidth="1"/>
    <col min="11527" max="11528" width="14.875" style="96" bestFit="1" customWidth="1"/>
    <col min="11529" max="11529" width="16.875" style="96" customWidth="1"/>
    <col min="11530" max="11531" width="18.5" style="96" customWidth="1"/>
    <col min="11532" max="11533" width="16.875" style="96" customWidth="1"/>
    <col min="11534" max="11535" width="9.125" style="96"/>
    <col min="11536" max="11537" width="16.125" style="96" bestFit="1" customWidth="1"/>
    <col min="11538" max="11777" width="9.125" style="96"/>
    <col min="11778" max="11778" width="12.5" style="96" customWidth="1"/>
    <col min="11779" max="11779" width="47.625" style="96" customWidth="1"/>
    <col min="11780" max="11780" width="5.5" style="96" customWidth="1"/>
    <col min="11781" max="11782" width="13.375" style="96" customWidth="1"/>
    <col min="11783" max="11784" width="14.875" style="96" bestFit="1" customWidth="1"/>
    <col min="11785" max="11785" width="16.875" style="96" customWidth="1"/>
    <col min="11786" max="11787" width="18.5" style="96" customWidth="1"/>
    <col min="11788" max="11789" width="16.875" style="96" customWidth="1"/>
    <col min="11790" max="11791" width="9.125" style="96"/>
    <col min="11792" max="11793" width="16.125" style="96" bestFit="1" customWidth="1"/>
    <col min="11794" max="12033" width="9.125" style="96"/>
    <col min="12034" max="12034" width="12.5" style="96" customWidth="1"/>
    <col min="12035" max="12035" width="47.625" style="96" customWidth="1"/>
    <col min="12036" max="12036" width="5.5" style="96" customWidth="1"/>
    <col min="12037" max="12038" width="13.375" style="96" customWidth="1"/>
    <col min="12039" max="12040" width="14.875" style="96" bestFit="1" customWidth="1"/>
    <col min="12041" max="12041" width="16.875" style="96" customWidth="1"/>
    <col min="12042" max="12043" width="18.5" style="96" customWidth="1"/>
    <col min="12044" max="12045" width="16.875" style="96" customWidth="1"/>
    <col min="12046" max="12047" width="9.125" style="96"/>
    <col min="12048" max="12049" width="16.125" style="96" bestFit="1" customWidth="1"/>
    <col min="12050" max="12289" width="9.125" style="96"/>
    <col min="12290" max="12290" width="12.5" style="96" customWidth="1"/>
    <col min="12291" max="12291" width="47.625" style="96" customWidth="1"/>
    <col min="12292" max="12292" width="5.5" style="96" customWidth="1"/>
    <col min="12293" max="12294" width="13.375" style="96" customWidth="1"/>
    <col min="12295" max="12296" width="14.875" style="96" bestFit="1" customWidth="1"/>
    <col min="12297" max="12297" width="16.875" style="96" customWidth="1"/>
    <col min="12298" max="12299" width="18.5" style="96" customWidth="1"/>
    <col min="12300" max="12301" width="16.875" style="96" customWidth="1"/>
    <col min="12302" max="12303" width="9.125" style="96"/>
    <col min="12304" max="12305" width="16.125" style="96" bestFit="1" customWidth="1"/>
    <col min="12306" max="12545" width="9.125" style="96"/>
    <col min="12546" max="12546" width="12.5" style="96" customWidth="1"/>
    <col min="12547" max="12547" width="47.625" style="96" customWidth="1"/>
    <col min="12548" max="12548" width="5.5" style="96" customWidth="1"/>
    <col min="12549" max="12550" width="13.375" style="96" customWidth="1"/>
    <col min="12551" max="12552" width="14.875" style="96" bestFit="1" customWidth="1"/>
    <col min="12553" max="12553" width="16.875" style="96" customWidth="1"/>
    <col min="12554" max="12555" width="18.5" style="96" customWidth="1"/>
    <col min="12556" max="12557" width="16.875" style="96" customWidth="1"/>
    <col min="12558" max="12559" width="9.125" style="96"/>
    <col min="12560" max="12561" width="16.125" style="96" bestFit="1" customWidth="1"/>
    <col min="12562" max="12801" width="9.125" style="96"/>
    <col min="12802" max="12802" width="12.5" style="96" customWidth="1"/>
    <col min="12803" max="12803" width="47.625" style="96" customWidth="1"/>
    <col min="12804" max="12804" width="5.5" style="96" customWidth="1"/>
    <col min="12805" max="12806" width="13.375" style="96" customWidth="1"/>
    <col min="12807" max="12808" width="14.875" style="96" bestFit="1" customWidth="1"/>
    <col min="12809" max="12809" width="16.875" style="96" customWidth="1"/>
    <col min="12810" max="12811" width="18.5" style="96" customWidth="1"/>
    <col min="12812" max="12813" width="16.875" style="96" customWidth="1"/>
    <col min="12814" max="12815" width="9.125" style="96"/>
    <col min="12816" max="12817" width="16.125" style="96" bestFit="1" customWidth="1"/>
    <col min="12818" max="13057" width="9.125" style="96"/>
    <col min="13058" max="13058" width="12.5" style="96" customWidth="1"/>
    <col min="13059" max="13059" width="47.625" style="96" customWidth="1"/>
    <col min="13060" max="13060" width="5.5" style="96" customWidth="1"/>
    <col min="13061" max="13062" width="13.375" style="96" customWidth="1"/>
    <col min="13063" max="13064" width="14.875" style="96" bestFit="1" customWidth="1"/>
    <col min="13065" max="13065" width="16.875" style="96" customWidth="1"/>
    <col min="13066" max="13067" width="18.5" style="96" customWidth="1"/>
    <col min="13068" max="13069" width="16.875" style="96" customWidth="1"/>
    <col min="13070" max="13071" width="9.125" style="96"/>
    <col min="13072" max="13073" width="16.125" style="96" bestFit="1" customWidth="1"/>
    <col min="13074" max="13313" width="9.125" style="96"/>
    <col min="13314" max="13314" width="12.5" style="96" customWidth="1"/>
    <col min="13315" max="13315" width="47.625" style="96" customWidth="1"/>
    <col min="13316" max="13316" width="5.5" style="96" customWidth="1"/>
    <col min="13317" max="13318" width="13.375" style="96" customWidth="1"/>
    <col min="13319" max="13320" width="14.875" style="96" bestFit="1" customWidth="1"/>
    <col min="13321" max="13321" width="16.875" style="96" customWidth="1"/>
    <col min="13322" max="13323" width="18.5" style="96" customWidth="1"/>
    <col min="13324" max="13325" width="16.875" style="96" customWidth="1"/>
    <col min="13326" max="13327" width="9.125" style="96"/>
    <col min="13328" max="13329" width="16.125" style="96" bestFit="1" customWidth="1"/>
    <col min="13330" max="13569" width="9.125" style="96"/>
    <col min="13570" max="13570" width="12.5" style="96" customWidth="1"/>
    <col min="13571" max="13571" width="47.625" style="96" customWidth="1"/>
    <col min="13572" max="13572" width="5.5" style="96" customWidth="1"/>
    <col min="13573" max="13574" width="13.375" style="96" customWidth="1"/>
    <col min="13575" max="13576" width="14.875" style="96" bestFit="1" customWidth="1"/>
    <col min="13577" max="13577" width="16.875" style="96" customWidth="1"/>
    <col min="13578" max="13579" width="18.5" style="96" customWidth="1"/>
    <col min="13580" max="13581" width="16.875" style="96" customWidth="1"/>
    <col min="13582" max="13583" width="9.125" style="96"/>
    <col min="13584" max="13585" width="16.125" style="96" bestFit="1" customWidth="1"/>
    <col min="13586" max="13825" width="9.125" style="96"/>
    <col min="13826" max="13826" width="12.5" style="96" customWidth="1"/>
    <col min="13827" max="13827" width="47.625" style="96" customWidth="1"/>
    <col min="13828" max="13828" width="5.5" style="96" customWidth="1"/>
    <col min="13829" max="13830" width="13.375" style="96" customWidth="1"/>
    <col min="13831" max="13832" width="14.875" style="96" bestFit="1" customWidth="1"/>
    <col min="13833" max="13833" width="16.875" style="96" customWidth="1"/>
    <col min="13834" max="13835" width="18.5" style="96" customWidth="1"/>
    <col min="13836" max="13837" width="16.875" style="96" customWidth="1"/>
    <col min="13838" max="13839" width="9.125" style="96"/>
    <col min="13840" max="13841" width="16.125" style="96" bestFit="1" customWidth="1"/>
    <col min="13842" max="14081" width="9.125" style="96"/>
    <col min="14082" max="14082" width="12.5" style="96" customWidth="1"/>
    <col min="14083" max="14083" width="47.625" style="96" customWidth="1"/>
    <col min="14084" max="14084" width="5.5" style="96" customWidth="1"/>
    <col min="14085" max="14086" width="13.375" style="96" customWidth="1"/>
    <col min="14087" max="14088" width="14.875" style="96" bestFit="1" customWidth="1"/>
    <col min="14089" max="14089" width="16.875" style="96" customWidth="1"/>
    <col min="14090" max="14091" width="18.5" style="96" customWidth="1"/>
    <col min="14092" max="14093" width="16.875" style="96" customWidth="1"/>
    <col min="14094" max="14095" width="9.125" style="96"/>
    <col min="14096" max="14097" width="16.125" style="96" bestFit="1" customWidth="1"/>
    <col min="14098" max="14337" width="9.125" style="96"/>
    <col min="14338" max="14338" width="12.5" style="96" customWidth="1"/>
    <col min="14339" max="14339" width="47.625" style="96" customWidth="1"/>
    <col min="14340" max="14340" width="5.5" style="96" customWidth="1"/>
    <col min="14341" max="14342" width="13.375" style="96" customWidth="1"/>
    <col min="14343" max="14344" width="14.875" style="96" bestFit="1" customWidth="1"/>
    <col min="14345" max="14345" width="16.875" style="96" customWidth="1"/>
    <col min="14346" max="14347" width="18.5" style="96" customWidth="1"/>
    <col min="14348" max="14349" width="16.875" style="96" customWidth="1"/>
    <col min="14350" max="14351" width="9.125" style="96"/>
    <col min="14352" max="14353" width="16.125" style="96" bestFit="1" customWidth="1"/>
    <col min="14354" max="14593" width="9.125" style="96"/>
    <col min="14594" max="14594" width="12.5" style="96" customWidth="1"/>
    <col min="14595" max="14595" width="47.625" style="96" customWidth="1"/>
    <col min="14596" max="14596" width="5.5" style="96" customWidth="1"/>
    <col min="14597" max="14598" width="13.375" style="96" customWidth="1"/>
    <col min="14599" max="14600" width="14.875" style="96" bestFit="1" customWidth="1"/>
    <col min="14601" max="14601" width="16.875" style="96" customWidth="1"/>
    <col min="14602" max="14603" width="18.5" style="96" customWidth="1"/>
    <col min="14604" max="14605" width="16.875" style="96" customWidth="1"/>
    <col min="14606" max="14607" width="9.125" style="96"/>
    <col min="14608" max="14609" width="16.125" style="96" bestFit="1" customWidth="1"/>
    <col min="14610" max="14849" width="9.125" style="96"/>
    <col min="14850" max="14850" width="12.5" style="96" customWidth="1"/>
    <col min="14851" max="14851" width="47.625" style="96" customWidth="1"/>
    <col min="14852" max="14852" width="5.5" style="96" customWidth="1"/>
    <col min="14853" max="14854" width="13.375" style="96" customWidth="1"/>
    <col min="14855" max="14856" width="14.875" style="96" bestFit="1" customWidth="1"/>
    <col min="14857" max="14857" width="16.875" style="96" customWidth="1"/>
    <col min="14858" max="14859" width="18.5" style="96" customWidth="1"/>
    <col min="14860" max="14861" width="16.875" style="96" customWidth="1"/>
    <col min="14862" max="14863" width="9.125" style="96"/>
    <col min="14864" max="14865" width="16.125" style="96" bestFit="1" customWidth="1"/>
    <col min="14866" max="15105" width="9.125" style="96"/>
    <col min="15106" max="15106" width="12.5" style="96" customWidth="1"/>
    <col min="15107" max="15107" width="47.625" style="96" customWidth="1"/>
    <col min="15108" max="15108" width="5.5" style="96" customWidth="1"/>
    <col min="15109" max="15110" width="13.375" style="96" customWidth="1"/>
    <col min="15111" max="15112" width="14.875" style="96" bestFit="1" customWidth="1"/>
    <col min="15113" max="15113" width="16.875" style="96" customWidth="1"/>
    <col min="15114" max="15115" width="18.5" style="96" customWidth="1"/>
    <col min="15116" max="15117" width="16.875" style="96" customWidth="1"/>
    <col min="15118" max="15119" width="9.125" style="96"/>
    <col min="15120" max="15121" width="16.125" style="96" bestFit="1" customWidth="1"/>
    <col min="15122" max="15361" width="9.125" style="96"/>
    <col min="15362" max="15362" width="12.5" style="96" customWidth="1"/>
    <col min="15363" max="15363" width="47.625" style="96" customWidth="1"/>
    <col min="15364" max="15364" width="5.5" style="96" customWidth="1"/>
    <col min="15365" max="15366" width="13.375" style="96" customWidth="1"/>
    <col min="15367" max="15368" width="14.875" style="96" bestFit="1" customWidth="1"/>
    <col min="15369" max="15369" width="16.875" style="96" customWidth="1"/>
    <col min="15370" max="15371" width="18.5" style="96" customWidth="1"/>
    <col min="15372" max="15373" width="16.875" style="96" customWidth="1"/>
    <col min="15374" max="15375" width="9.125" style="96"/>
    <col min="15376" max="15377" width="16.125" style="96" bestFit="1" customWidth="1"/>
    <col min="15378" max="15617" width="9.125" style="96"/>
    <col min="15618" max="15618" width="12.5" style="96" customWidth="1"/>
    <col min="15619" max="15619" width="47.625" style="96" customWidth="1"/>
    <col min="15620" max="15620" width="5.5" style="96" customWidth="1"/>
    <col min="15621" max="15622" width="13.375" style="96" customWidth="1"/>
    <col min="15623" max="15624" width="14.875" style="96" bestFit="1" customWidth="1"/>
    <col min="15625" max="15625" width="16.875" style="96" customWidth="1"/>
    <col min="15626" max="15627" width="18.5" style="96" customWidth="1"/>
    <col min="15628" max="15629" width="16.875" style="96" customWidth="1"/>
    <col min="15630" max="15631" width="9.125" style="96"/>
    <col min="15632" max="15633" width="16.125" style="96" bestFit="1" customWidth="1"/>
    <col min="15634" max="15873" width="9.125" style="96"/>
    <col min="15874" max="15874" width="12.5" style="96" customWidth="1"/>
    <col min="15875" max="15875" width="47.625" style="96" customWidth="1"/>
    <col min="15876" max="15876" width="5.5" style="96" customWidth="1"/>
    <col min="15877" max="15878" width="13.375" style="96" customWidth="1"/>
    <col min="15879" max="15880" width="14.875" style="96" bestFit="1" customWidth="1"/>
    <col min="15881" max="15881" width="16.875" style="96" customWidth="1"/>
    <col min="15882" max="15883" width="18.5" style="96" customWidth="1"/>
    <col min="15884" max="15885" width="16.875" style="96" customWidth="1"/>
    <col min="15886" max="15887" width="9.125" style="96"/>
    <col min="15888" max="15889" width="16.125" style="96" bestFit="1" customWidth="1"/>
    <col min="15890" max="16129" width="9.125" style="96"/>
    <col min="16130" max="16130" width="12.5" style="96" customWidth="1"/>
    <col min="16131" max="16131" width="47.625" style="96" customWidth="1"/>
    <col min="16132" max="16132" width="5.5" style="96" customWidth="1"/>
    <col min="16133" max="16134" width="13.375" style="96" customWidth="1"/>
    <col min="16135" max="16136" width="14.875" style="96" bestFit="1" customWidth="1"/>
    <col min="16137" max="16137" width="16.875" style="96" customWidth="1"/>
    <col min="16138" max="16139" width="18.5" style="96" customWidth="1"/>
    <col min="16140" max="16141" width="16.875" style="96" customWidth="1"/>
    <col min="16142" max="16143" width="9.125" style="96"/>
    <col min="16144" max="16145" width="16.125" style="96" bestFit="1" customWidth="1"/>
    <col min="16146" max="16384" width="9.125" style="96"/>
  </cols>
  <sheetData>
    <row r="1" spans="1:14" ht="20.100000000000001" customHeight="1">
      <c r="A1" s="650" t="s">
        <v>1095</v>
      </c>
      <c r="B1" s="650"/>
      <c r="C1" s="650"/>
      <c r="D1" s="650"/>
      <c r="E1" s="650"/>
      <c r="F1" s="650"/>
      <c r="G1" s="650"/>
      <c r="H1" s="650"/>
      <c r="I1" s="650"/>
      <c r="J1" s="650"/>
      <c r="K1" s="650"/>
      <c r="L1" s="650"/>
      <c r="M1" s="650"/>
      <c r="N1" s="650"/>
    </row>
    <row r="2" spans="1:14" ht="20.100000000000001" customHeight="1">
      <c r="A2" s="650" t="s">
        <v>1096</v>
      </c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650"/>
    </row>
    <row r="3" spans="1:14" ht="20.100000000000001" customHeight="1">
      <c r="A3" s="97" t="s">
        <v>1097</v>
      </c>
      <c r="B3" s="97"/>
      <c r="C3" s="98"/>
      <c r="D3" s="99"/>
      <c r="E3" s="100"/>
      <c r="F3" s="101"/>
      <c r="G3" s="101"/>
      <c r="H3" s="102"/>
      <c r="I3" s="102"/>
      <c r="J3" s="651"/>
      <c r="K3" s="651"/>
      <c r="L3" s="652" t="s">
        <v>1098</v>
      </c>
      <c r="M3" s="653"/>
      <c r="N3" s="654"/>
    </row>
    <row r="4" spans="1:14" ht="15" customHeight="1">
      <c r="A4" s="655" t="s">
        <v>1099</v>
      </c>
      <c r="B4" s="655" t="s">
        <v>1100</v>
      </c>
      <c r="C4" s="655" t="s">
        <v>1101</v>
      </c>
      <c r="D4" s="656" t="s">
        <v>1102</v>
      </c>
      <c r="E4" s="657" t="s">
        <v>1103</v>
      </c>
      <c r="F4" s="658" t="s">
        <v>1104</v>
      </c>
      <c r="G4" s="658"/>
      <c r="H4" s="656" t="s">
        <v>1105</v>
      </c>
      <c r="I4" s="660" t="s">
        <v>1106</v>
      </c>
      <c r="J4" s="656" t="s">
        <v>1107</v>
      </c>
      <c r="K4" s="657" t="s">
        <v>1108</v>
      </c>
      <c r="L4" s="656" t="s">
        <v>1109</v>
      </c>
      <c r="M4" s="656"/>
      <c r="N4" s="659" t="s">
        <v>1110</v>
      </c>
    </row>
    <row r="5" spans="1:14" ht="15" customHeight="1">
      <c r="A5" s="655"/>
      <c r="B5" s="655"/>
      <c r="C5" s="655"/>
      <c r="D5" s="656"/>
      <c r="E5" s="657"/>
      <c r="F5" s="334" t="s">
        <v>1111</v>
      </c>
      <c r="G5" s="334" t="s">
        <v>1112</v>
      </c>
      <c r="H5" s="656"/>
      <c r="I5" s="661"/>
      <c r="J5" s="656"/>
      <c r="K5" s="657"/>
      <c r="L5" s="334" t="s">
        <v>1113</v>
      </c>
      <c r="M5" s="334" t="s">
        <v>1114</v>
      </c>
      <c r="N5" s="659"/>
    </row>
    <row r="6" spans="1:14" s="111" customFormat="1" ht="22.5" customHeight="1">
      <c r="A6" s="103" t="s">
        <v>1115</v>
      </c>
      <c r="B6" s="62" t="s">
        <v>232</v>
      </c>
      <c r="C6" s="104"/>
      <c r="D6" s="105"/>
      <c r="E6" s="106"/>
      <c r="F6" s="107"/>
      <c r="G6" s="107"/>
      <c r="H6" s="108"/>
      <c r="I6" s="115"/>
      <c r="J6" s="109"/>
      <c r="K6" s="106"/>
      <c r="L6" s="109"/>
      <c r="M6" s="105"/>
      <c r="N6" s="110"/>
    </row>
    <row r="7" spans="1:14" s="111" customFormat="1" ht="22.5" customHeight="1">
      <c r="A7" s="103" t="s">
        <v>71</v>
      </c>
      <c r="B7" s="112" t="s">
        <v>233</v>
      </c>
      <c r="C7" s="113" t="s">
        <v>75</v>
      </c>
      <c r="D7" s="373">
        <v>51705</v>
      </c>
      <c r="E7" s="374">
        <f>D7+3415</f>
        <v>55120</v>
      </c>
      <c r="F7" s="380">
        <f>IF(E7&gt;D7,E7-D7,"")</f>
        <v>3415</v>
      </c>
      <c r="G7" s="380" t="str">
        <f>IF(E7&lt;D7,D7-E7,"")</f>
        <v/>
      </c>
      <c r="H7" s="381">
        <v>15</v>
      </c>
      <c r="I7" s="380"/>
      <c r="J7" s="381">
        <f t="shared" ref="J7:J70" si="0">ROUND(D7*H7,0)</f>
        <v>775575</v>
      </c>
      <c r="K7" s="380">
        <f>ROUND(E7*H7,0)</f>
        <v>826800</v>
      </c>
      <c r="L7" s="380">
        <f>IF(K7&gt;J7,K7-J7,"")</f>
        <v>51225</v>
      </c>
      <c r="M7" s="380" t="str">
        <f>IF(K7&lt;J7,J7-K7,"")</f>
        <v/>
      </c>
      <c r="N7" s="110"/>
    </row>
    <row r="8" spans="1:14" s="111" customFormat="1" ht="22.5" customHeight="1">
      <c r="A8" s="103" t="s">
        <v>73</v>
      </c>
      <c r="B8" s="112" t="s">
        <v>1116</v>
      </c>
      <c r="C8" s="113" t="s">
        <v>72</v>
      </c>
      <c r="D8" s="373">
        <v>16029</v>
      </c>
      <c r="E8" s="374">
        <v>8334</v>
      </c>
      <c r="F8" s="380" t="str">
        <f t="shared" ref="F8:F71" si="1">IF(E8&gt;D8,E8-D8,"")</f>
        <v/>
      </c>
      <c r="G8" s="380">
        <f t="shared" ref="G8:G71" si="2">IF(E8&lt;D8,D8-E8,"")</f>
        <v>7695</v>
      </c>
      <c r="H8" s="381">
        <v>30</v>
      </c>
      <c r="I8" s="380"/>
      <c r="J8" s="381">
        <f t="shared" si="0"/>
        <v>480870</v>
      </c>
      <c r="K8" s="380">
        <f t="shared" ref="K8:K69" si="3">ROUND(E8*H8,0)</f>
        <v>250020</v>
      </c>
      <c r="L8" s="380" t="str">
        <f t="shared" ref="L8:L71" si="4">IF(K8&gt;J8,K8-J8,"")</f>
        <v/>
      </c>
      <c r="M8" s="380">
        <f t="shared" ref="M8:M71" si="5">IF(K8&lt;J8,J8-K8,"")</f>
        <v>230850</v>
      </c>
      <c r="N8" s="110"/>
    </row>
    <row r="9" spans="1:14" s="111" customFormat="1" ht="22.5" customHeight="1">
      <c r="A9" s="103" t="s">
        <v>74</v>
      </c>
      <c r="B9" s="112" t="s">
        <v>234</v>
      </c>
      <c r="C9" s="113" t="s">
        <v>72</v>
      </c>
      <c r="D9" s="373">
        <v>15366</v>
      </c>
      <c r="E9" s="375">
        <v>15366</v>
      </c>
      <c r="F9" s="380" t="str">
        <f t="shared" si="1"/>
        <v/>
      </c>
      <c r="G9" s="380" t="str">
        <f t="shared" si="2"/>
        <v/>
      </c>
      <c r="H9" s="381">
        <v>70</v>
      </c>
      <c r="I9" s="380"/>
      <c r="J9" s="381">
        <f t="shared" si="0"/>
        <v>1075620</v>
      </c>
      <c r="K9" s="381">
        <f t="shared" si="3"/>
        <v>1075620</v>
      </c>
      <c r="L9" s="380" t="str">
        <f t="shared" si="4"/>
        <v/>
      </c>
      <c r="M9" s="380" t="str">
        <f t="shared" si="5"/>
        <v/>
      </c>
      <c r="N9" s="110"/>
    </row>
    <row r="10" spans="1:14" s="111" customFormat="1" ht="22.5" customHeight="1">
      <c r="A10" s="103" t="s">
        <v>76</v>
      </c>
      <c r="B10" s="112" t="s">
        <v>149</v>
      </c>
      <c r="C10" s="113" t="s">
        <v>72</v>
      </c>
      <c r="D10" s="373">
        <v>13498</v>
      </c>
      <c r="E10" s="376">
        <v>7835</v>
      </c>
      <c r="F10" s="380" t="str">
        <f t="shared" si="1"/>
        <v/>
      </c>
      <c r="G10" s="380">
        <f t="shared" si="2"/>
        <v>5663</v>
      </c>
      <c r="H10" s="381">
        <v>45</v>
      </c>
      <c r="I10" s="380"/>
      <c r="J10" s="381">
        <f t="shared" si="0"/>
        <v>607410</v>
      </c>
      <c r="K10" s="380">
        <f t="shared" si="3"/>
        <v>352575</v>
      </c>
      <c r="L10" s="380" t="str">
        <f t="shared" si="4"/>
        <v/>
      </c>
      <c r="M10" s="380">
        <f t="shared" si="5"/>
        <v>254835</v>
      </c>
      <c r="N10" s="110"/>
    </row>
    <row r="11" spans="1:14" s="111" customFormat="1" ht="22.5" customHeight="1">
      <c r="A11" s="103" t="s">
        <v>78</v>
      </c>
      <c r="B11" s="112" t="s">
        <v>235</v>
      </c>
      <c r="C11" s="113" t="s">
        <v>75</v>
      </c>
      <c r="D11" s="373">
        <v>13646</v>
      </c>
      <c r="E11" s="376">
        <v>0</v>
      </c>
      <c r="F11" s="380" t="str">
        <f t="shared" si="1"/>
        <v/>
      </c>
      <c r="G11" s="380">
        <f t="shared" si="2"/>
        <v>13646</v>
      </c>
      <c r="H11" s="381">
        <v>340</v>
      </c>
      <c r="I11" s="380"/>
      <c r="J11" s="381">
        <f t="shared" si="0"/>
        <v>4639640</v>
      </c>
      <c r="K11" s="380">
        <f t="shared" si="3"/>
        <v>0</v>
      </c>
      <c r="L11" s="380" t="str">
        <f t="shared" si="4"/>
        <v/>
      </c>
      <c r="M11" s="380">
        <f t="shared" si="5"/>
        <v>4639640</v>
      </c>
      <c r="N11" s="110"/>
    </row>
    <row r="12" spans="1:14" s="111" customFormat="1" ht="22.5" customHeight="1">
      <c r="A12" s="103" t="s">
        <v>79</v>
      </c>
      <c r="B12" s="112" t="s">
        <v>236</v>
      </c>
      <c r="C12" s="113" t="s">
        <v>72</v>
      </c>
      <c r="D12" s="373">
        <v>41</v>
      </c>
      <c r="E12" s="376">
        <v>68</v>
      </c>
      <c r="F12" s="380">
        <f t="shared" si="1"/>
        <v>27</v>
      </c>
      <c r="G12" s="380" t="str">
        <f t="shared" si="2"/>
        <v/>
      </c>
      <c r="H12" s="381">
        <v>2150</v>
      </c>
      <c r="I12" s="380"/>
      <c r="J12" s="381">
        <f t="shared" si="0"/>
        <v>88150</v>
      </c>
      <c r="K12" s="380">
        <f t="shared" si="3"/>
        <v>146200</v>
      </c>
      <c r="L12" s="380">
        <f t="shared" si="4"/>
        <v>58050</v>
      </c>
      <c r="M12" s="380" t="str">
        <f t="shared" si="5"/>
        <v/>
      </c>
      <c r="N12" s="110"/>
    </row>
    <row r="13" spans="1:14" s="111" customFormat="1" ht="22.5" customHeight="1">
      <c r="A13" s="103" t="s">
        <v>80</v>
      </c>
      <c r="B13" s="112" t="s">
        <v>77</v>
      </c>
      <c r="C13" s="113" t="s">
        <v>72</v>
      </c>
      <c r="D13" s="373">
        <v>298</v>
      </c>
      <c r="E13" s="376">
        <v>303</v>
      </c>
      <c r="F13" s="380">
        <f t="shared" si="1"/>
        <v>5</v>
      </c>
      <c r="G13" s="380" t="str">
        <f t="shared" si="2"/>
        <v/>
      </c>
      <c r="H13" s="381">
        <v>2299</v>
      </c>
      <c r="I13" s="380"/>
      <c r="J13" s="381">
        <f t="shared" si="0"/>
        <v>685102</v>
      </c>
      <c r="K13" s="380">
        <f t="shared" si="3"/>
        <v>696597</v>
      </c>
      <c r="L13" s="380">
        <f t="shared" si="4"/>
        <v>11495</v>
      </c>
      <c r="M13" s="380" t="str">
        <f t="shared" si="5"/>
        <v/>
      </c>
      <c r="N13" s="110"/>
    </row>
    <row r="14" spans="1:14" s="111" customFormat="1" ht="22.5" customHeight="1">
      <c r="A14" s="103" t="s">
        <v>81</v>
      </c>
      <c r="B14" s="112" t="s">
        <v>237</v>
      </c>
      <c r="C14" s="113" t="s">
        <v>75</v>
      </c>
      <c r="D14" s="373">
        <v>1678</v>
      </c>
      <c r="E14" s="376">
        <v>2470</v>
      </c>
      <c r="F14" s="380">
        <f t="shared" si="1"/>
        <v>792</v>
      </c>
      <c r="G14" s="380" t="str">
        <f t="shared" si="2"/>
        <v/>
      </c>
      <c r="H14" s="381">
        <v>400</v>
      </c>
      <c r="I14" s="380"/>
      <c r="J14" s="381">
        <f t="shared" si="0"/>
        <v>671200</v>
      </c>
      <c r="K14" s="380">
        <f t="shared" si="3"/>
        <v>988000</v>
      </c>
      <c r="L14" s="380">
        <f t="shared" si="4"/>
        <v>316800</v>
      </c>
      <c r="M14" s="380" t="str">
        <f t="shared" si="5"/>
        <v/>
      </c>
      <c r="N14" s="110"/>
    </row>
    <row r="15" spans="1:14" s="111" customFormat="1" ht="22.5" customHeight="1">
      <c r="A15" s="103" t="s">
        <v>82</v>
      </c>
      <c r="B15" s="112" t="s">
        <v>238</v>
      </c>
      <c r="C15" s="113" t="s">
        <v>239</v>
      </c>
      <c r="D15" s="373">
        <v>18372</v>
      </c>
      <c r="E15" s="376">
        <v>19015</v>
      </c>
      <c r="F15" s="380">
        <f t="shared" si="1"/>
        <v>643</v>
      </c>
      <c r="G15" s="380" t="str">
        <f t="shared" si="2"/>
        <v/>
      </c>
      <c r="H15" s="381">
        <v>26</v>
      </c>
      <c r="I15" s="380"/>
      <c r="J15" s="381">
        <f t="shared" si="0"/>
        <v>477672</v>
      </c>
      <c r="K15" s="380">
        <f t="shared" si="3"/>
        <v>494390</v>
      </c>
      <c r="L15" s="380">
        <f t="shared" si="4"/>
        <v>16718</v>
      </c>
      <c r="M15" s="380" t="str">
        <f t="shared" si="5"/>
        <v/>
      </c>
      <c r="N15" s="110"/>
    </row>
    <row r="16" spans="1:14" s="111" customFormat="1" ht="22.5" customHeight="1">
      <c r="A16" s="103" t="s">
        <v>83</v>
      </c>
      <c r="B16" s="112" t="s">
        <v>240</v>
      </c>
      <c r="C16" s="113" t="s">
        <v>75</v>
      </c>
      <c r="D16" s="373">
        <v>4257</v>
      </c>
      <c r="E16" s="376">
        <v>4224</v>
      </c>
      <c r="F16" s="380" t="str">
        <f t="shared" si="1"/>
        <v/>
      </c>
      <c r="G16" s="380">
        <f t="shared" si="2"/>
        <v>33</v>
      </c>
      <c r="H16" s="381">
        <v>899</v>
      </c>
      <c r="I16" s="380"/>
      <c r="J16" s="381">
        <f t="shared" si="0"/>
        <v>3827043</v>
      </c>
      <c r="K16" s="380">
        <f t="shared" si="3"/>
        <v>3797376</v>
      </c>
      <c r="L16" s="380" t="str">
        <f t="shared" si="4"/>
        <v/>
      </c>
      <c r="M16" s="380">
        <f t="shared" si="5"/>
        <v>29667</v>
      </c>
      <c r="N16" s="110"/>
    </row>
    <row r="17" spans="1:14" s="111" customFormat="1" ht="22.5" customHeight="1">
      <c r="A17" s="103" t="s">
        <v>84</v>
      </c>
      <c r="B17" s="112" t="s">
        <v>241</v>
      </c>
      <c r="C17" s="113" t="s">
        <v>72</v>
      </c>
      <c r="D17" s="373">
        <v>450</v>
      </c>
      <c r="E17" s="376">
        <v>461</v>
      </c>
      <c r="F17" s="380">
        <f t="shared" si="1"/>
        <v>11</v>
      </c>
      <c r="G17" s="380" t="str">
        <f t="shared" si="2"/>
        <v/>
      </c>
      <c r="H17" s="381">
        <v>660</v>
      </c>
      <c r="I17" s="380"/>
      <c r="J17" s="381">
        <f t="shared" si="0"/>
        <v>297000</v>
      </c>
      <c r="K17" s="380">
        <f t="shared" si="3"/>
        <v>304260</v>
      </c>
      <c r="L17" s="380">
        <f t="shared" si="4"/>
        <v>7260</v>
      </c>
      <c r="M17" s="380" t="str">
        <f t="shared" si="5"/>
        <v/>
      </c>
      <c r="N17" s="110"/>
    </row>
    <row r="18" spans="1:14" s="111" customFormat="1">
      <c r="A18" s="626" t="s">
        <v>85</v>
      </c>
      <c r="B18" s="628" t="s">
        <v>242</v>
      </c>
      <c r="C18" s="642" t="s">
        <v>75</v>
      </c>
      <c r="D18" s="644">
        <v>1310</v>
      </c>
      <c r="E18" s="646">
        <v>1516</v>
      </c>
      <c r="F18" s="618">
        <f t="shared" si="1"/>
        <v>206</v>
      </c>
      <c r="G18" s="618" t="str">
        <f t="shared" si="2"/>
        <v/>
      </c>
      <c r="H18" s="382">
        <v>1034</v>
      </c>
      <c r="I18" s="622"/>
      <c r="J18" s="624">
        <f t="shared" si="0"/>
        <v>1354540</v>
      </c>
      <c r="K18" s="618">
        <f>ROUND(E18*H19,0)</f>
        <v>1707016</v>
      </c>
      <c r="L18" s="618">
        <f t="shared" si="4"/>
        <v>352476</v>
      </c>
      <c r="M18" s="618" t="str">
        <f t="shared" si="5"/>
        <v/>
      </c>
      <c r="N18" s="648"/>
    </row>
    <row r="19" spans="1:14" s="111" customFormat="1">
      <c r="A19" s="627"/>
      <c r="B19" s="629"/>
      <c r="C19" s="643"/>
      <c r="D19" s="645"/>
      <c r="E19" s="647"/>
      <c r="F19" s="619"/>
      <c r="G19" s="619"/>
      <c r="H19" s="380">
        <f>新增單價分析表!F19</f>
        <v>1126</v>
      </c>
      <c r="I19" s="623"/>
      <c r="J19" s="625"/>
      <c r="K19" s="619"/>
      <c r="L19" s="619"/>
      <c r="M19" s="619"/>
      <c r="N19" s="649"/>
    </row>
    <row r="20" spans="1:14" s="111" customFormat="1" ht="22.5" customHeight="1">
      <c r="A20" s="103" t="s">
        <v>86</v>
      </c>
      <c r="B20" s="112" t="s">
        <v>243</v>
      </c>
      <c r="C20" s="113" t="s">
        <v>119</v>
      </c>
      <c r="D20" s="373">
        <v>1</v>
      </c>
      <c r="E20" s="377">
        <v>1</v>
      </c>
      <c r="F20" s="380" t="str">
        <f t="shared" si="1"/>
        <v/>
      </c>
      <c r="G20" s="380" t="str">
        <f t="shared" si="2"/>
        <v/>
      </c>
      <c r="H20" s="381">
        <v>10000</v>
      </c>
      <c r="I20" s="380"/>
      <c r="J20" s="381">
        <f t="shared" si="0"/>
        <v>10000</v>
      </c>
      <c r="K20" s="381">
        <f t="shared" si="3"/>
        <v>10000</v>
      </c>
      <c r="L20" s="380" t="str">
        <f t="shared" si="4"/>
        <v/>
      </c>
      <c r="M20" s="380" t="str">
        <f t="shared" si="5"/>
        <v/>
      </c>
      <c r="N20" s="110"/>
    </row>
    <row r="21" spans="1:14" s="111" customFormat="1">
      <c r="A21" s="626" t="s">
        <v>87</v>
      </c>
      <c r="B21" s="628" t="s">
        <v>244</v>
      </c>
      <c r="C21" s="642" t="s">
        <v>75</v>
      </c>
      <c r="D21" s="644">
        <v>798</v>
      </c>
      <c r="E21" s="646">
        <v>795</v>
      </c>
      <c r="F21" s="618" t="str">
        <f>IF(E21&gt;D21,E21-D21,"")</f>
        <v/>
      </c>
      <c r="G21" s="618">
        <f t="shared" si="2"/>
        <v>3</v>
      </c>
      <c r="H21" s="382">
        <v>1519</v>
      </c>
      <c r="I21" s="622"/>
      <c r="J21" s="624">
        <f t="shared" si="0"/>
        <v>1212162</v>
      </c>
      <c r="K21" s="618">
        <f>ROUND(E21*H22,0)</f>
        <v>1303800</v>
      </c>
      <c r="L21" s="618">
        <f t="shared" si="4"/>
        <v>91638</v>
      </c>
      <c r="M21" s="618" t="str">
        <f t="shared" si="5"/>
        <v/>
      </c>
      <c r="N21" s="648"/>
    </row>
    <row r="22" spans="1:14" s="111" customFormat="1">
      <c r="A22" s="627"/>
      <c r="B22" s="629"/>
      <c r="C22" s="643"/>
      <c r="D22" s="645"/>
      <c r="E22" s="647"/>
      <c r="F22" s="619"/>
      <c r="G22" s="619"/>
      <c r="H22" s="380">
        <f>新增單價分析表!F35</f>
        <v>1640</v>
      </c>
      <c r="I22" s="623"/>
      <c r="J22" s="625"/>
      <c r="K22" s="619"/>
      <c r="L22" s="619"/>
      <c r="M22" s="619"/>
      <c r="N22" s="649"/>
    </row>
    <row r="23" spans="1:14" s="111" customFormat="1">
      <c r="A23" s="626" t="s">
        <v>88</v>
      </c>
      <c r="B23" s="628" t="s">
        <v>245</v>
      </c>
      <c r="C23" s="642" t="s">
        <v>75</v>
      </c>
      <c r="D23" s="644">
        <v>1027</v>
      </c>
      <c r="E23" s="646">
        <v>941</v>
      </c>
      <c r="F23" s="618" t="str">
        <f t="shared" si="1"/>
        <v/>
      </c>
      <c r="G23" s="618">
        <f t="shared" si="2"/>
        <v>86</v>
      </c>
      <c r="H23" s="382">
        <v>710</v>
      </c>
      <c r="I23" s="622"/>
      <c r="J23" s="624">
        <f t="shared" si="0"/>
        <v>729170</v>
      </c>
      <c r="K23" s="618">
        <f>ROUND(E23*H24,0)</f>
        <v>810201</v>
      </c>
      <c r="L23" s="618">
        <f t="shared" si="4"/>
        <v>81031</v>
      </c>
      <c r="M23" s="618" t="str">
        <f t="shared" si="5"/>
        <v/>
      </c>
      <c r="N23" s="648"/>
    </row>
    <row r="24" spans="1:14" s="111" customFormat="1">
      <c r="A24" s="627"/>
      <c r="B24" s="629"/>
      <c r="C24" s="643"/>
      <c r="D24" s="645"/>
      <c r="E24" s="647"/>
      <c r="F24" s="619"/>
      <c r="G24" s="619"/>
      <c r="H24" s="380">
        <f>新增單價分析表!F50</f>
        <v>861</v>
      </c>
      <c r="I24" s="623"/>
      <c r="J24" s="625"/>
      <c r="K24" s="619"/>
      <c r="L24" s="619"/>
      <c r="M24" s="619"/>
      <c r="N24" s="649"/>
    </row>
    <row r="25" spans="1:14" s="111" customFormat="1" ht="22.5" customHeight="1">
      <c r="A25" s="103" t="s">
        <v>89</v>
      </c>
      <c r="B25" s="112" t="s">
        <v>246</v>
      </c>
      <c r="C25" s="113" t="s">
        <v>75</v>
      </c>
      <c r="D25" s="373">
        <v>256</v>
      </c>
      <c r="E25" s="377">
        <v>0</v>
      </c>
      <c r="F25" s="380" t="str">
        <f t="shared" si="1"/>
        <v/>
      </c>
      <c r="G25" s="380">
        <f t="shared" si="2"/>
        <v>256</v>
      </c>
      <c r="H25" s="381">
        <v>2818</v>
      </c>
      <c r="I25" s="380"/>
      <c r="J25" s="381">
        <f t="shared" si="0"/>
        <v>721408</v>
      </c>
      <c r="K25" s="380">
        <f t="shared" si="3"/>
        <v>0</v>
      </c>
      <c r="L25" s="380" t="str">
        <f t="shared" si="4"/>
        <v/>
      </c>
      <c r="M25" s="380">
        <f t="shared" si="5"/>
        <v>721408</v>
      </c>
      <c r="N25" s="110"/>
    </row>
    <row r="26" spans="1:14" s="111" customFormat="1" ht="22.5" customHeight="1">
      <c r="A26" s="103" t="s">
        <v>90</v>
      </c>
      <c r="B26" s="112" t="s">
        <v>328</v>
      </c>
      <c r="C26" s="113" t="s">
        <v>75</v>
      </c>
      <c r="D26" s="373">
        <v>1010</v>
      </c>
      <c r="E26" s="377">
        <v>1010</v>
      </c>
      <c r="F26" s="380" t="str">
        <f t="shared" si="1"/>
        <v/>
      </c>
      <c r="G26" s="380" t="str">
        <f t="shared" si="2"/>
        <v/>
      </c>
      <c r="H26" s="381">
        <v>100</v>
      </c>
      <c r="I26" s="380"/>
      <c r="J26" s="381">
        <f t="shared" si="0"/>
        <v>101000</v>
      </c>
      <c r="K26" s="381">
        <f t="shared" si="3"/>
        <v>101000</v>
      </c>
      <c r="L26" s="380" t="str">
        <f t="shared" si="4"/>
        <v/>
      </c>
      <c r="M26" s="380" t="str">
        <f t="shared" si="5"/>
        <v/>
      </c>
      <c r="N26" s="110"/>
    </row>
    <row r="27" spans="1:14" s="118" customFormat="1" ht="22.5" customHeight="1">
      <c r="A27" s="103" t="s">
        <v>91</v>
      </c>
      <c r="B27" s="112" t="s">
        <v>247</v>
      </c>
      <c r="C27" s="113" t="s">
        <v>75</v>
      </c>
      <c r="D27" s="373">
        <v>9443</v>
      </c>
      <c r="E27" s="376">
        <v>9435</v>
      </c>
      <c r="F27" s="380" t="str">
        <f t="shared" si="1"/>
        <v/>
      </c>
      <c r="G27" s="380">
        <f t="shared" si="2"/>
        <v>8</v>
      </c>
      <c r="H27" s="381">
        <v>429</v>
      </c>
      <c r="I27" s="380"/>
      <c r="J27" s="381">
        <f t="shared" si="0"/>
        <v>4051047</v>
      </c>
      <c r="K27" s="380">
        <f t="shared" si="3"/>
        <v>4047615</v>
      </c>
      <c r="L27" s="380" t="str">
        <f t="shared" si="4"/>
        <v/>
      </c>
      <c r="M27" s="380">
        <f t="shared" si="5"/>
        <v>3432</v>
      </c>
      <c r="N27" s="117"/>
    </row>
    <row r="28" spans="1:14" s="111" customFormat="1">
      <c r="A28" s="626" t="s">
        <v>92</v>
      </c>
      <c r="B28" s="628" t="s">
        <v>248</v>
      </c>
      <c r="C28" s="642" t="s">
        <v>75</v>
      </c>
      <c r="D28" s="644">
        <v>3552</v>
      </c>
      <c r="E28" s="646">
        <v>3614</v>
      </c>
      <c r="F28" s="618">
        <f t="shared" si="1"/>
        <v>62</v>
      </c>
      <c r="G28" s="618" t="str">
        <f t="shared" si="2"/>
        <v/>
      </c>
      <c r="H28" s="382">
        <v>654</v>
      </c>
      <c r="I28" s="622"/>
      <c r="J28" s="624">
        <f t="shared" si="0"/>
        <v>2323008</v>
      </c>
      <c r="K28" s="618">
        <f>ROUND(E28*H29,0)</f>
        <v>3115268</v>
      </c>
      <c r="L28" s="618">
        <f t="shared" si="4"/>
        <v>792260</v>
      </c>
      <c r="M28" s="618" t="str">
        <f t="shared" si="5"/>
        <v/>
      </c>
      <c r="N28" s="648"/>
    </row>
    <row r="29" spans="1:14" s="111" customFormat="1">
      <c r="A29" s="627"/>
      <c r="B29" s="629"/>
      <c r="C29" s="643"/>
      <c r="D29" s="645"/>
      <c r="E29" s="647"/>
      <c r="F29" s="619"/>
      <c r="G29" s="619"/>
      <c r="H29" s="380">
        <f>新增單價分析表!F68</f>
        <v>862</v>
      </c>
      <c r="I29" s="623"/>
      <c r="J29" s="625"/>
      <c r="K29" s="619"/>
      <c r="L29" s="619"/>
      <c r="M29" s="619"/>
      <c r="N29" s="649"/>
    </row>
    <row r="30" spans="1:14" s="118" customFormat="1" ht="22.5" customHeight="1">
      <c r="A30" s="103" t="s">
        <v>93</v>
      </c>
      <c r="B30" s="112" t="s">
        <v>249</v>
      </c>
      <c r="C30" s="113" t="s">
        <v>75</v>
      </c>
      <c r="D30" s="373">
        <v>118</v>
      </c>
      <c r="E30" s="376">
        <v>123</v>
      </c>
      <c r="F30" s="380">
        <f t="shared" si="1"/>
        <v>5</v>
      </c>
      <c r="G30" s="380" t="str">
        <f t="shared" si="2"/>
        <v/>
      </c>
      <c r="H30" s="381">
        <v>8915</v>
      </c>
      <c r="I30" s="380"/>
      <c r="J30" s="381">
        <f t="shared" si="0"/>
        <v>1051970</v>
      </c>
      <c r="K30" s="380">
        <f t="shared" si="3"/>
        <v>1096545</v>
      </c>
      <c r="L30" s="380">
        <f t="shared" si="4"/>
        <v>44575</v>
      </c>
      <c r="M30" s="380" t="str">
        <f t="shared" si="5"/>
        <v/>
      </c>
      <c r="N30" s="117"/>
    </row>
    <row r="31" spans="1:14" s="118" customFormat="1" ht="22.5" customHeight="1">
      <c r="A31" s="103" t="s">
        <v>94</v>
      </c>
      <c r="B31" s="112" t="s">
        <v>327</v>
      </c>
      <c r="C31" s="113" t="s">
        <v>102</v>
      </c>
      <c r="D31" s="373">
        <v>7</v>
      </c>
      <c r="E31" s="377">
        <v>7</v>
      </c>
      <c r="F31" s="380" t="str">
        <f t="shared" si="1"/>
        <v/>
      </c>
      <c r="G31" s="380" t="str">
        <f t="shared" si="2"/>
        <v/>
      </c>
      <c r="H31" s="381">
        <v>17979</v>
      </c>
      <c r="I31" s="380"/>
      <c r="J31" s="381">
        <f t="shared" si="0"/>
        <v>125853</v>
      </c>
      <c r="K31" s="381">
        <f t="shared" si="3"/>
        <v>125853</v>
      </c>
      <c r="L31" s="380" t="str">
        <f t="shared" si="4"/>
        <v/>
      </c>
      <c r="M31" s="380" t="str">
        <f t="shared" si="5"/>
        <v/>
      </c>
      <c r="N31" s="117"/>
    </row>
    <row r="32" spans="1:14" s="118" customFormat="1" ht="22.5" customHeight="1">
      <c r="A32" s="103" t="s">
        <v>95</v>
      </c>
      <c r="B32" s="112" t="s">
        <v>250</v>
      </c>
      <c r="C32" s="113" t="s">
        <v>75</v>
      </c>
      <c r="D32" s="373">
        <v>180</v>
      </c>
      <c r="E32" s="376">
        <v>98</v>
      </c>
      <c r="F32" s="380" t="str">
        <f t="shared" si="1"/>
        <v/>
      </c>
      <c r="G32" s="380">
        <f t="shared" si="2"/>
        <v>82</v>
      </c>
      <c r="H32" s="381">
        <v>2749</v>
      </c>
      <c r="I32" s="380"/>
      <c r="J32" s="381">
        <f t="shared" si="0"/>
        <v>494820</v>
      </c>
      <c r="K32" s="380">
        <f t="shared" si="3"/>
        <v>269402</v>
      </c>
      <c r="L32" s="380" t="str">
        <f t="shared" si="4"/>
        <v/>
      </c>
      <c r="M32" s="380">
        <f t="shared" si="5"/>
        <v>225418</v>
      </c>
      <c r="N32" s="117"/>
    </row>
    <row r="33" spans="1:14" s="118" customFormat="1" ht="22.5" customHeight="1">
      <c r="A33" s="103" t="s">
        <v>96</v>
      </c>
      <c r="B33" s="112" t="s">
        <v>326</v>
      </c>
      <c r="C33" s="113" t="s">
        <v>75</v>
      </c>
      <c r="D33" s="373">
        <v>735</v>
      </c>
      <c r="E33" s="376">
        <v>1724</v>
      </c>
      <c r="F33" s="380">
        <f t="shared" si="1"/>
        <v>989</v>
      </c>
      <c r="G33" s="380" t="str">
        <f t="shared" si="2"/>
        <v/>
      </c>
      <c r="H33" s="381">
        <v>1059</v>
      </c>
      <c r="I33" s="380"/>
      <c r="J33" s="381">
        <f t="shared" si="0"/>
        <v>778365</v>
      </c>
      <c r="K33" s="380">
        <f t="shared" si="3"/>
        <v>1825716</v>
      </c>
      <c r="L33" s="380">
        <f t="shared" si="4"/>
        <v>1047351</v>
      </c>
      <c r="M33" s="380" t="str">
        <f t="shared" si="5"/>
        <v/>
      </c>
      <c r="N33" s="117"/>
    </row>
    <row r="34" spans="1:14" s="118" customFormat="1" ht="22.5" customHeight="1">
      <c r="A34" s="103" t="s">
        <v>97</v>
      </c>
      <c r="B34" s="112" t="s">
        <v>251</v>
      </c>
      <c r="C34" s="113" t="s">
        <v>75</v>
      </c>
      <c r="D34" s="373">
        <v>164</v>
      </c>
      <c r="E34" s="376">
        <v>59</v>
      </c>
      <c r="F34" s="380" t="str">
        <f t="shared" si="1"/>
        <v/>
      </c>
      <c r="G34" s="380">
        <f t="shared" si="2"/>
        <v>105</v>
      </c>
      <c r="H34" s="381">
        <v>290</v>
      </c>
      <c r="I34" s="380"/>
      <c r="J34" s="381">
        <f t="shared" si="0"/>
        <v>47560</v>
      </c>
      <c r="K34" s="380">
        <f t="shared" si="3"/>
        <v>17110</v>
      </c>
      <c r="L34" s="380" t="str">
        <f t="shared" si="4"/>
        <v/>
      </c>
      <c r="M34" s="380">
        <f t="shared" si="5"/>
        <v>30450</v>
      </c>
      <c r="N34" s="117"/>
    </row>
    <row r="35" spans="1:14" s="118" customFormat="1" ht="22.5" customHeight="1">
      <c r="A35" s="103" t="s">
        <v>98</v>
      </c>
      <c r="B35" s="112" t="s">
        <v>252</v>
      </c>
      <c r="C35" s="113" t="s">
        <v>109</v>
      </c>
      <c r="D35" s="373">
        <v>2</v>
      </c>
      <c r="E35" s="377">
        <v>2</v>
      </c>
      <c r="F35" s="380" t="str">
        <f t="shared" si="1"/>
        <v/>
      </c>
      <c r="G35" s="380" t="str">
        <f t="shared" si="2"/>
        <v/>
      </c>
      <c r="H35" s="381">
        <v>3500</v>
      </c>
      <c r="I35" s="380"/>
      <c r="J35" s="381">
        <f t="shared" si="0"/>
        <v>7000</v>
      </c>
      <c r="K35" s="381">
        <f t="shared" si="3"/>
        <v>7000</v>
      </c>
      <c r="L35" s="380" t="str">
        <f t="shared" si="4"/>
        <v/>
      </c>
      <c r="M35" s="380" t="str">
        <f t="shared" si="5"/>
        <v/>
      </c>
      <c r="N35" s="119"/>
    </row>
    <row r="36" spans="1:14" s="118" customFormat="1" ht="22.5" customHeight="1">
      <c r="A36" s="103" t="s">
        <v>99</v>
      </c>
      <c r="B36" s="112" t="s">
        <v>253</v>
      </c>
      <c r="C36" s="113" t="s">
        <v>109</v>
      </c>
      <c r="D36" s="373">
        <v>3</v>
      </c>
      <c r="E36" s="377">
        <v>3</v>
      </c>
      <c r="F36" s="380" t="str">
        <f t="shared" si="1"/>
        <v/>
      </c>
      <c r="G36" s="380" t="str">
        <f t="shared" si="2"/>
        <v/>
      </c>
      <c r="H36" s="381">
        <v>4998</v>
      </c>
      <c r="I36" s="380"/>
      <c r="J36" s="381">
        <f t="shared" si="0"/>
        <v>14994</v>
      </c>
      <c r="K36" s="381">
        <f t="shared" si="3"/>
        <v>14994</v>
      </c>
      <c r="L36" s="380" t="str">
        <f t="shared" si="4"/>
        <v/>
      </c>
      <c r="M36" s="380" t="str">
        <f t="shared" si="5"/>
        <v/>
      </c>
      <c r="N36" s="117"/>
    </row>
    <row r="37" spans="1:14" s="118" customFormat="1" ht="22.5" customHeight="1">
      <c r="A37" s="103" t="s">
        <v>101</v>
      </c>
      <c r="B37" s="112" t="s">
        <v>254</v>
      </c>
      <c r="C37" s="113" t="s">
        <v>126</v>
      </c>
      <c r="D37" s="373">
        <v>6</v>
      </c>
      <c r="E37" s="377">
        <v>6</v>
      </c>
      <c r="F37" s="380" t="str">
        <f t="shared" si="1"/>
        <v/>
      </c>
      <c r="G37" s="380" t="str">
        <f t="shared" si="2"/>
        <v/>
      </c>
      <c r="H37" s="381">
        <v>54867</v>
      </c>
      <c r="I37" s="380"/>
      <c r="J37" s="381">
        <f t="shared" si="0"/>
        <v>329202</v>
      </c>
      <c r="K37" s="381">
        <f t="shared" si="3"/>
        <v>329202</v>
      </c>
      <c r="L37" s="380" t="str">
        <f t="shared" si="4"/>
        <v/>
      </c>
      <c r="M37" s="380" t="str">
        <f t="shared" si="5"/>
        <v/>
      </c>
      <c r="N37" s="117"/>
    </row>
    <row r="38" spans="1:14" s="118" customFormat="1" ht="22.5" customHeight="1">
      <c r="A38" s="103" t="s">
        <v>103</v>
      </c>
      <c r="B38" s="112" t="s">
        <v>255</v>
      </c>
      <c r="C38" s="113" t="s">
        <v>126</v>
      </c>
      <c r="D38" s="373">
        <v>6</v>
      </c>
      <c r="E38" s="376">
        <v>16</v>
      </c>
      <c r="F38" s="380">
        <f t="shared" si="1"/>
        <v>10</v>
      </c>
      <c r="G38" s="380" t="str">
        <f t="shared" si="2"/>
        <v/>
      </c>
      <c r="H38" s="381">
        <v>5797</v>
      </c>
      <c r="I38" s="380"/>
      <c r="J38" s="381">
        <f t="shared" si="0"/>
        <v>34782</v>
      </c>
      <c r="K38" s="380">
        <f t="shared" si="3"/>
        <v>92752</v>
      </c>
      <c r="L38" s="380">
        <f t="shared" si="4"/>
        <v>57970</v>
      </c>
      <c r="M38" s="380" t="str">
        <f t="shared" si="5"/>
        <v/>
      </c>
      <c r="N38" s="117"/>
    </row>
    <row r="39" spans="1:14" s="118" customFormat="1" ht="22.5" customHeight="1">
      <c r="A39" s="103" t="s">
        <v>104</v>
      </c>
      <c r="B39" s="112" t="s">
        <v>256</v>
      </c>
      <c r="C39" s="113" t="s">
        <v>109</v>
      </c>
      <c r="D39" s="373">
        <v>1</v>
      </c>
      <c r="E39" s="376">
        <v>0</v>
      </c>
      <c r="F39" s="380" t="str">
        <f t="shared" si="1"/>
        <v/>
      </c>
      <c r="G39" s="380">
        <f t="shared" si="2"/>
        <v>1</v>
      </c>
      <c r="H39" s="381">
        <v>275450</v>
      </c>
      <c r="I39" s="380"/>
      <c r="J39" s="381">
        <f t="shared" si="0"/>
        <v>275450</v>
      </c>
      <c r="K39" s="381">
        <f t="shared" si="3"/>
        <v>0</v>
      </c>
      <c r="L39" s="380" t="str">
        <f t="shared" si="4"/>
        <v/>
      </c>
      <c r="M39" s="380">
        <f t="shared" si="5"/>
        <v>275450</v>
      </c>
      <c r="N39" s="117"/>
    </row>
    <row r="40" spans="1:14" s="118" customFormat="1" ht="22.5" customHeight="1">
      <c r="A40" s="103" t="s">
        <v>105</v>
      </c>
      <c r="B40" s="112" t="s">
        <v>257</v>
      </c>
      <c r="C40" s="113" t="s">
        <v>109</v>
      </c>
      <c r="D40" s="373">
        <v>1</v>
      </c>
      <c r="E40" s="377">
        <v>1</v>
      </c>
      <c r="F40" s="380" t="str">
        <f t="shared" si="1"/>
        <v/>
      </c>
      <c r="G40" s="380" t="str">
        <f t="shared" si="2"/>
        <v/>
      </c>
      <c r="H40" s="381">
        <v>79752</v>
      </c>
      <c r="I40" s="380"/>
      <c r="J40" s="381">
        <f t="shared" si="0"/>
        <v>79752</v>
      </c>
      <c r="K40" s="381">
        <f t="shared" si="3"/>
        <v>79752</v>
      </c>
      <c r="L40" s="380" t="str">
        <f t="shared" si="4"/>
        <v/>
      </c>
      <c r="M40" s="380" t="str">
        <f t="shared" si="5"/>
        <v/>
      </c>
      <c r="N40" s="117"/>
    </row>
    <row r="41" spans="1:14" s="118" customFormat="1">
      <c r="A41" s="626" t="s">
        <v>106</v>
      </c>
      <c r="B41" s="628" t="s">
        <v>258</v>
      </c>
      <c r="C41" s="642" t="s">
        <v>109</v>
      </c>
      <c r="D41" s="644">
        <v>1</v>
      </c>
      <c r="E41" s="634">
        <v>1</v>
      </c>
      <c r="F41" s="618" t="str">
        <f t="shared" si="1"/>
        <v/>
      </c>
      <c r="G41" s="618" t="str">
        <f t="shared" si="2"/>
        <v/>
      </c>
      <c r="H41" s="382">
        <v>97941</v>
      </c>
      <c r="I41" s="640"/>
      <c r="J41" s="624">
        <f t="shared" si="0"/>
        <v>97941</v>
      </c>
      <c r="K41" s="624">
        <f>ROUND(E41*H42,0)</f>
        <v>176776</v>
      </c>
      <c r="L41" s="618">
        <f t="shared" si="4"/>
        <v>78835</v>
      </c>
      <c r="M41" s="618" t="str">
        <f t="shared" si="5"/>
        <v/>
      </c>
      <c r="N41" s="636"/>
    </row>
    <row r="42" spans="1:14" s="118" customFormat="1">
      <c r="A42" s="627"/>
      <c r="B42" s="629"/>
      <c r="C42" s="643"/>
      <c r="D42" s="645"/>
      <c r="E42" s="635"/>
      <c r="F42" s="619"/>
      <c r="G42" s="619"/>
      <c r="H42" s="380">
        <f>新增單價分析表!F88</f>
        <v>176776</v>
      </c>
      <c r="I42" s="641"/>
      <c r="J42" s="625"/>
      <c r="K42" s="625"/>
      <c r="L42" s="619"/>
      <c r="M42" s="619"/>
      <c r="N42" s="637"/>
    </row>
    <row r="43" spans="1:14" s="118" customFormat="1" ht="22.5" customHeight="1">
      <c r="A43" s="103" t="s">
        <v>107</v>
      </c>
      <c r="B43" s="112" t="s">
        <v>259</v>
      </c>
      <c r="C43" s="113" t="s">
        <v>150</v>
      </c>
      <c r="D43" s="373">
        <v>6</v>
      </c>
      <c r="E43" s="377">
        <v>6</v>
      </c>
      <c r="F43" s="380" t="str">
        <f t="shared" si="1"/>
        <v/>
      </c>
      <c r="G43" s="380" t="str">
        <f t="shared" si="2"/>
        <v/>
      </c>
      <c r="H43" s="381">
        <v>3568</v>
      </c>
      <c r="I43" s="380"/>
      <c r="J43" s="381">
        <f t="shared" si="0"/>
        <v>21408</v>
      </c>
      <c r="K43" s="381">
        <f t="shared" si="3"/>
        <v>21408</v>
      </c>
      <c r="L43" s="380" t="str">
        <f t="shared" si="4"/>
        <v/>
      </c>
      <c r="M43" s="380" t="str">
        <f t="shared" si="5"/>
        <v/>
      </c>
      <c r="N43" s="117"/>
    </row>
    <row r="44" spans="1:14" s="118" customFormat="1" ht="22.5" customHeight="1">
      <c r="A44" s="103" t="s">
        <v>108</v>
      </c>
      <c r="B44" s="112" t="s">
        <v>260</v>
      </c>
      <c r="C44" s="113" t="s">
        <v>109</v>
      </c>
      <c r="D44" s="373">
        <v>2</v>
      </c>
      <c r="E44" s="377">
        <v>2</v>
      </c>
      <c r="F44" s="380" t="str">
        <f t="shared" si="1"/>
        <v/>
      </c>
      <c r="G44" s="380" t="str">
        <f t="shared" si="2"/>
        <v/>
      </c>
      <c r="H44" s="381">
        <v>166200</v>
      </c>
      <c r="I44" s="380"/>
      <c r="J44" s="381">
        <f t="shared" si="0"/>
        <v>332400</v>
      </c>
      <c r="K44" s="381">
        <f t="shared" si="3"/>
        <v>332400</v>
      </c>
      <c r="L44" s="380" t="str">
        <f t="shared" si="4"/>
        <v/>
      </c>
      <c r="M44" s="380" t="str">
        <f t="shared" si="5"/>
        <v/>
      </c>
      <c r="N44" s="117"/>
    </row>
    <row r="45" spans="1:14" s="118" customFormat="1" ht="22.5" customHeight="1">
      <c r="A45" s="103" t="s">
        <v>110</v>
      </c>
      <c r="B45" s="112" t="s">
        <v>261</v>
      </c>
      <c r="C45" s="113" t="s">
        <v>126</v>
      </c>
      <c r="D45" s="373">
        <v>3</v>
      </c>
      <c r="E45" s="378">
        <v>3</v>
      </c>
      <c r="F45" s="380" t="str">
        <f t="shared" si="1"/>
        <v/>
      </c>
      <c r="G45" s="380" t="str">
        <f t="shared" si="2"/>
        <v/>
      </c>
      <c r="H45" s="381">
        <v>41975</v>
      </c>
      <c r="I45" s="380"/>
      <c r="J45" s="381">
        <f t="shared" si="0"/>
        <v>125925</v>
      </c>
      <c r="K45" s="381">
        <f t="shared" si="3"/>
        <v>125925</v>
      </c>
      <c r="L45" s="380" t="str">
        <f t="shared" si="4"/>
        <v/>
      </c>
      <c r="M45" s="380" t="str">
        <f t="shared" si="5"/>
        <v/>
      </c>
      <c r="N45" s="117"/>
    </row>
    <row r="46" spans="1:14" s="111" customFormat="1" ht="22.5" customHeight="1">
      <c r="A46" s="103" t="s">
        <v>111</v>
      </c>
      <c r="B46" s="112" t="s">
        <v>262</v>
      </c>
      <c r="C46" s="113" t="s">
        <v>109</v>
      </c>
      <c r="D46" s="373">
        <v>1</v>
      </c>
      <c r="E46" s="377">
        <v>1</v>
      </c>
      <c r="F46" s="380" t="str">
        <f t="shared" si="1"/>
        <v/>
      </c>
      <c r="G46" s="380" t="str">
        <f t="shared" si="2"/>
        <v/>
      </c>
      <c r="H46" s="381">
        <v>119379</v>
      </c>
      <c r="I46" s="380"/>
      <c r="J46" s="381">
        <f t="shared" si="0"/>
        <v>119379</v>
      </c>
      <c r="K46" s="381">
        <f t="shared" si="3"/>
        <v>119379</v>
      </c>
      <c r="L46" s="380" t="str">
        <f t="shared" si="4"/>
        <v/>
      </c>
      <c r="M46" s="380" t="str">
        <f t="shared" si="5"/>
        <v/>
      </c>
      <c r="N46" s="110"/>
    </row>
    <row r="47" spans="1:14" s="118" customFormat="1" ht="22.5" customHeight="1">
      <c r="A47" s="103" t="s">
        <v>112</v>
      </c>
      <c r="B47" s="112" t="s">
        <v>263</v>
      </c>
      <c r="C47" s="113" t="s">
        <v>102</v>
      </c>
      <c r="D47" s="373">
        <v>3</v>
      </c>
      <c r="E47" s="377">
        <v>3</v>
      </c>
      <c r="F47" s="380" t="str">
        <f t="shared" si="1"/>
        <v/>
      </c>
      <c r="G47" s="380" t="str">
        <f t="shared" si="2"/>
        <v/>
      </c>
      <c r="H47" s="381">
        <v>48571</v>
      </c>
      <c r="I47" s="380"/>
      <c r="J47" s="381">
        <f t="shared" si="0"/>
        <v>145713</v>
      </c>
      <c r="K47" s="381">
        <f t="shared" si="3"/>
        <v>145713</v>
      </c>
      <c r="L47" s="380" t="str">
        <f t="shared" si="4"/>
        <v/>
      </c>
      <c r="M47" s="380" t="str">
        <f t="shared" si="5"/>
        <v/>
      </c>
      <c r="N47" s="117"/>
    </row>
    <row r="48" spans="1:14" s="118" customFormat="1" ht="22.5" customHeight="1">
      <c r="A48" s="103" t="s">
        <v>113</v>
      </c>
      <c r="B48" s="112" t="s">
        <v>264</v>
      </c>
      <c r="C48" s="113" t="s">
        <v>102</v>
      </c>
      <c r="D48" s="373">
        <v>20</v>
      </c>
      <c r="E48" s="376">
        <v>23</v>
      </c>
      <c r="F48" s="380">
        <f t="shared" si="1"/>
        <v>3</v>
      </c>
      <c r="G48" s="380" t="str">
        <f t="shared" si="2"/>
        <v/>
      </c>
      <c r="H48" s="381">
        <v>5347</v>
      </c>
      <c r="I48" s="380"/>
      <c r="J48" s="381">
        <f t="shared" si="0"/>
        <v>106940</v>
      </c>
      <c r="K48" s="380">
        <f t="shared" si="3"/>
        <v>122981</v>
      </c>
      <c r="L48" s="380">
        <f t="shared" si="4"/>
        <v>16041</v>
      </c>
      <c r="M48" s="380" t="str">
        <f t="shared" si="5"/>
        <v/>
      </c>
      <c r="N48" s="117"/>
    </row>
    <row r="49" spans="1:14" s="118" customFormat="1" ht="22.5" customHeight="1">
      <c r="A49" s="103" t="s">
        <v>114</v>
      </c>
      <c r="B49" s="112" t="s">
        <v>265</v>
      </c>
      <c r="C49" s="113" t="s">
        <v>102</v>
      </c>
      <c r="D49" s="373">
        <v>1</v>
      </c>
      <c r="E49" s="377">
        <v>1</v>
      </c>
      <c r="F49" s="380" t="str">
        <f t="shared" si="1"/>
        <v/>
      </c>
      <c r="G49" s="380" t="str">
        <f t="shared" si="2"/>
        <v/>
      </c>
      <c r="H49" s="381">
        <v>17190</v>
      </c>
      <c r="I49" s="380"/>
      <c r="J49" s="381">
        <f t="shared" si="0"/>
        <v>17190</v>
      </c>
      <c r="K49" s="381">
        <f t="shared" si="3"/>
        <v>17190</v>
      </c>
      <c r="L49" s="380" t="str">
        <f t="shared" si="4"/>
        <v/>
      </c>
      <c r="M49" s="380" t="str">
        <f t="shared" si="5"/>
        <v/>
      </c>
      <c r="N49" s="117"/>
    </row>
    <row r="50" spans="1:14" s="118" customFormat="1" ht="22.5" customHeight="1">
      <c r="A50" s="103" t="s">
        <v>116</v>
      </c>
      <c r="B50" s="112" t="s">
        <v>266</v>
      </c>
      <c r="C50" s="113" t="s">
        <v>11</v>
      </c>
      <c r="D50" s="373">
        <v>83</v>
      </c>
      <c r="E50" s="376">
        <v>104</v>
      </c>
      <c r="F50" s="380">
        <f t="shared" si="1"/>
        <v>21</v>
      </c>
      <c r="G50" s="380" t="str">
        <f t="shared" si="2"/>
        <v/>
      </c>
      <c r="H50" s="381">
        <v>6571</v>
      </c>
      <c r="I50" s="380"/>
      <c r="J50" s="381">
        <f t="shared" si="0"/>
        <v>545393</v>
      </c>
      <c r="K50" s="380">
        <f t="shared" si="3"/>
        <v>683384</v>
      </c>
      <c r="L50" s="380">
        <f t="shared" si="4"/>
        <v>137991</v>
      </c>
      <c r="M50" s="380" t="str">
        <f t="shared" si="5"/>
        <v/>
      </c>
      <c r="N50" s="117"/>
    </row>
    <row r="51" spans="1:14" s="118" customFormat="1" ht="22.5" customHeight="1">
      <c r="A51" s="103" t="s">
        <v>128</v>
      </c>
      <c r="B51" s="112" t="s">
        <v>267</v>
      </c>
      <c r="C51" s="113" t="s">
        <v>102</v>
      </c>
      <c r="D51" s="373">
        <v>15</v>
      </c>
      <c r="E51" s="377">
        <v>15</v>
      </c>
      <c r="F51" s="380" t="str">
        <f>IF(E51&gt;D51,E51-D51,"")</f>
        <v/>
      </c>
      <c r="G51" s="380" t="str">
        <f t="shared" si="2"/>
        <v/>
      </c>
      <c r="H51" s="381">
        <v>12992</v>
      </c>
      <c r="I51" s="380"/>
      <c r="J51" s="381">
        <f t="shared" si="0"/>
        <v>194880</v>
      </c>
      <c r="K51" s="381">
        <f t="shared" si="3"/>
        <v>194880</v>
      </c>
      <c r="L51" s="380" t="str">
        <f t="shared" si="4"/>
        <v/>
      </c>
      <c r="M51" s="380" t="str">
        <f t="shared" si="5"/>
        <v/>
      </c>
      <c r="N51" s="117"/>
    </row>
    <row r="52" spans="1:14" s="118" customFormat="1" ht="22.5" customHeight="1">
      <c r="A52" s="103" t="s">
        <v>129</v>
      </c>
      <c r="B52" s="112" t="s">
        <v>268</v>
      </c>
      <c r="C52" s="113" t="s">
        <v>102</v>
      </c>
      <c r="D52" s="373">
        <v>1</v>
      </c>
      <c r="E52" s="377">
        <v>1</v>
      </c>
      <c r="F52" s="380" t="str">
        <f t="shared" si="1"/>
        <v/>
      </c>
      <c r="G52" s="380" t="str">
        <f t="shared" si="2"/>
        <v/>
      </c>
      <c r="H52" s="381">
        <v>379772</v>
      </c>
      <c r="I52" s="380"/>
      <c r="J52" s="381">
        <f t="shared" si="0"/>
        <v>379772</v>
      </c>
      <c r="K52" s="381">
        <f t="shared" si="3"/>
        <v>379772</v>
      </c>
      <c r="L52" s="380" t="str">
        <f t="shared" si="4"/>
        <v/>
      </c>
      <c r="M52" s="380" t="str">
        <f t="shared" si="5"/>
        <v/>
      </c>
      <c r="N52" s="117"/>
    </row>
    <row r="53" spans="1:14" s="118" customFormat="1" ht="22.5" customHeight="1">
      <c r="A53" s="103" t="s">
        <v>130</v>
      </c>
      <c r="B53" s="112" t="s">
        <v>269</v>
      </c>
      <c r="C53" s="113" t="s">
        <v>102</v>
      </c>
      <c r="D53" s="373">
        <v>1</v>
      </c>
      <c r="E53" s="377">
        <v>1</v>
      </c>
      <c r="F53" s="380" t="str">
        <f t="shared" si="1"/>
        <v/>
      </c>
      <c r="G53" s="380" t="str">
        <f t="shared" si="2"/>
        <v/>
      </c>
      <c r="H53" s="381">
        <v>279832</v>
      </c>
      <c r="I53" s="380"/>
      <c r="J53" s="381">
        <f t="shared" si="0"/>
        <v>279832</v>
      </c>
      <c r="K53" s="381">
        <f t="shared" si="3"/>
        <v>279832</v>
      </c>
      <c r="L53" s="380" t="str">
        <f t="shared" si="4"/>
        <v/>
      </c>
      <c r="M53" s="380" t="str">
        <f t="shared" si="5"/>
        <v/>
      </c>
      <c r="N53" s="117"/>
    </row>
    <row r="54" spans="1:14" s="118" customFormat="1">
      <c r="A54" s="626" t="s">
        <v>131</v>
      </c>
      <c r="B54" s="628" t="s">
        <v>663</v>
      </c>
      <c r="C54" s="642" t="s">
        <v>102</v>
      </c>
      <c r="D54" s="644">
        <v>1</v>
      </c>
      <c r="E54" s="646">
        <v>1</v>
      </c>
      <c r="F54" s="618" t="str">
        <f t="shared" si="1"/>
        <v/>
      </c>
      <c r="G54" s="618" t="str">
        <f t="shared" si="2"/>
        <v/>
      </c>
      <c r="H54" s="382">
        <v>99440</v>
      </c>
      <c r="I54" s="640"/>
      <c r="J54" s="624">
        <f t="shared" si="0"/>
        <v>99440</v>
      </c>
      <c r="K54" s="618">
        <f>ROUND(E54*H55,0)</f>
        <v>388169</v>
      </c>
      <c r="L54" s="618">
        <f t="shared" si="4"/>
        <v>288729</v>
      </c>
      <c r="M54" s="618" t="str">
        <f t="shared" si="5"/>
        <v/>
      </c>
      <c r="N54" s="636"/>
    </row>
    <row r="55" spans="1:14" s="118" customFormat="1">
      <c r="A55" s="627"/>
      <c r="B55" s="629"/>
      <c r="C55" s="643"/>
      <c r="D55" s="645"/>
      <c r="E55" s="647"/>
      <c r="F55" s="619"/>
      <c r="G55" s="619"/>
      <c r="H55" s="380">
        <f>新增單價分析表!F116</f>
        <v>388169</v>
      </c>
      <c r="I55" s="641"/>
      <c r="J55" s="625"/>
      <c r="K55" s="619"/>
      <c r="L55" s="619"/>
      <c r="M55" s="619"/>
      <c r="N55" s="637"/>
    </row>
    <row r="56" spans="1:14" s="118" customFormat="1">
      <c r="A56" s="626" t="s">
        <v>132</v>
      </c>
      <c r="B56" s="628" t="s">
        <v>271</v>
      </c>
      <c r="C56" s="642" t="s">
        <v>119</v>
      </c>
      <c r="D56" s="644">
        <v>1</v>
      </c>
      <c r="E56" s="634">
        <v>1</v>
      </c>
      <c r="F56" s="618" t="str">
        <f t="shared" si="1"/>
        <v/>
      </c>
      <c r="G56" s="618" t="str">
        <f t="shared" si="2"/>
        <v/>
      </c>
      <c r="H56" s="382">
        <v>275834</v>
      </c>
      <c r="I56" s="640"/>
      <c r="J56" s="624">
        <f t="shared" si="0"/>
        <v>275834</v>
      </c>
      <c r="K56" s="618">
        <f>ROUND(E56*H57,0)</f>
        <v>372888</v>
      </c>
      <c r="L56" s="618">
        <f t="shared" si="4"/>
        <v>97054</v>
      </c>
      <c r="M56" s="618" t="str">
        <f t="shared" si="5"/>
        <v/>
      </c>
      <c r="N56" s="636"/>
    </row>
    <row r="57" spans="1:14" s="118" customFormat="1">
      <c r="A57" s="627"/>
      <c r="B57" s="629"/>
      <c r="C57" s="643"/>
      <c r="D57" s="645"/>
      <c r="E57" s="635"/>
      <c r="F57" s="619"/>
      <c r="G57" s="619"/>
      <c r="H57" s="380">
        <f>新增單價分析表!F134</f>
        <v>372888</v>
      </c>
      <c r="I57" s="641"/>
      <c r="J57" s="625"/>
      <c r="K57" s="619"/>
      <c r="L57" s="619"/>
      <c r="M57" s="619"/>
      <c r="N57" s="637"/>
    </row>
    <row r="58" spans="1:14" s="118" customFormat="1" ht="22.5" customHeight="1">
      <c r="A58" s="103" t="s">
        <v>133</v>
      </c>
      <c r="B58" s="112" t="s">
        <v>272</v>
      </c>
      <c r="C58" s="113" t="s">
        <v>75</v>
      </c>
      <c r="D58" s="373">
        <v>8191</v>
      </c>
      <c r="E58" s="377">
        <v>0</v>
      </c>
      <c r="F58" s="380" t="str">
        <f t="shared" si="1"/>
        <v/>
      </c>
      <c r="G58" s="380">
        <f t="shared" si="2"/>
        <v>8191</v>
      </c>
      <c r="H58" s="381">
        <v>315</v>
      </c>
      <c r="I58" s="380"/>
      <c r="J58" s="381">
        <f t="shared" si="0"/>
        <v>2580165</v>
      </c>
      <c r="K58" s="381">
        <f t="shared" si="3"/>
        <v>0</v>
      </c>
      <c r="L58" s="380" t="str">
        <f t="shared" si="4"/>
        <v/>
      </c>
      <c r="M58" s="380">
        <f t="shared" si="5"/>
        <v>2580165</v>
      </c>
      <c r="N58" s="117"/>
    </row>
    <row r="59" spans="1:14" s="118" customFormat="1" ht="22.5" customHeight="1">
      <c r="A59" s="103" t="s">
        <v>134</v>
      </c>
      <c r="B59" s="112" t="s">
        <v>273</v>
      </c>
      <c r="C59" s="113" t="s">
        <v>75</v>
      </c>
      <c r="D59" s="373">
        <v>6805</v>
      </c>
      <c r="E59" s="376">
        <v>13912</v>
      </c>
      <c r="F59" s="380">
        <f t="shared" si="1"/>
        <v>7107</v>
      </c>
      <c r="G59" s="380" t="str">
        <f t="shared" si="2"/>
        <v/>
      </c>
      <c r="H59" s="381">
        <v>190</v>
      </c>
      <c r="I59" s="380"/>
      <c r="J59" s="381">
        <f t="shared" si="0"/>
        <v>1292950</v>
      </c>
      <c r="K59" s="380">
        <f t="shared" si="3"/>
        <v>2643280</v>
      </c>
      <c r="L59" s="380">
        <f t="shared" si="4"/>
        <v>1350330</v>
      </c>
      <c r="M59" s="380" t="str">
        <f t="shared" si="5"/>
        <v/>
      </c>
      <c r="N59" s="117"/>
    </row>
    <row r="60" spans="1:14" s="118" customFormat="1" ht="22.5" customHeight="1">
      <c r="A60" s="103" t="s">
        <v>135</v>
      </c>
      <c r="B60" s="112" t="s">
        <v>274</v>
      </c>
      <c r="C60" s="113" t="s">
        <v>75</v>
      </c>
      <c r="D60" s="373">
        <v>538</v>
      </c>
      <c r="E60" s="376">
        <v>1844</v>
      </c>
      <c r="F60" s="380">
        <f t="shared" si="1"/>
        <v>1306</v>
      </c>
      <c r="G60" s="380" t="str">
        <f t="shared" si="2"/>
        <v/>
      </c>
      <c r="H60" s="381">
        <v>140</v>
      </c>
      <c r="I60" s="380"/>
      <c r="J60" s="381">
        <f t="shared" si="0"/>
        <v>75320</v>
      </c>
      <c r="K60" s="380">
        <f t="shared" si="3"/>
        <v>258160</v>
      </c>
      <c r="L60" s="380">
        <f t="shared" si="4"/>
        <v>182840</v>
      </c>
      <c r="M60" s="380" t="str">
        <f t="shared" si="5"/>
        <v/>
      </c>
      <c r="N60" s="117"/>
    </row>
    <row r="61" spans="1:14" s="118" customFormat="1" ht="22.5" customHeight="1">
      <c r="A61" s="103" t="s">
        <v>136</v>
      </c>
      <c r="B61" s="112" t="s">
        <v>117</v>
      </c>
      <c r="C61" s="113" t="s">
        <v>72</v>
      </c>
      <c r="D61" s="373">
        <v>1829</v>
      </c>
      <c r="E61" s="376">
        <v>1416</v>
      </c>
      <c r="F61" s="380" t="str">
        <f t="shared" si="1"/>
        <v/>
      </c>
      <c r="G61" s="380">
        <f t="shared" si="2"/>
        <v>413</v>
      </c>
      <c r="H61" s="381">
        <v>305</v>
      </c>
      <c r="I61" s="380"/>
      <c r="J61" s="381">
        <f t="shared" si="0"/>
        <v>557845</v>
      </c>
      <c r="K61" s="380">
        <f t="shared" si="3"/>
        <v>431880</v>
      </c>
      <c r="L61" s="380" t="str">
        <f t="shared" si="4"/>
        <v/>
      </c>
      <c r="M61" s="380">
        <f t="shared" si="5"/>
        <v>125965</v>
      </c>
      <c r="N61" s="117"/>
    </row>
    <row r="62" spans="1:14" s="118" customFormat="1" ht="22.5" customHeight="1">
      <c r="A62" s="103" t="s">
        <v>137</v>
      </c>
      <c r="B62" s="112" t="s">
        <v>275</v>
      </c>
      <c r="C62" s="113" t="s">
        <v>276</v>
      </c>
      <c r="D62" s="373">
        <v>27457</v>
      </c>
      <c r="E62" s="376">
        <v>27284</v>
      </c>
      <c r="F62" s="380" t="str">
        <f t="shared" si="1"/>
        <v/>
      </c>
      <c r="G62" s="380">
        <f t="shared" si="2"/>
        <v>173</v>
      </c>
      <c r="H62" s="381">
        <v>50</v>
      </c>
      <c r="I62" s="380"/>
      <c r="J62" s="381">
        <f t="shared" si="0"/>
        <v>1372850</v>
      </c>
      <c r="K62" s="380">
        <f t="shared" si="3"/>
        <v>1364200</v>
      </c>
      <c r="L62" s="380" t="str">
        <f t="shared" si="4"/>
        <v/>
      </c>
      <c r="M62" s="380">
        <f t="shared" si="5"/>
        <v>8650</v>
      </c>
      <c r="N62" s="117"/>
    </row>
    <row r="63" spans="1:14" s="118" customFormat="1" ht="22.5" customHeight="1">
      <c r="A63" s="103" t="s">
        <v>993</v>
      </c>
      <c r="B63" s="112" t="s">
        <v>277</v>
      </c>
      <c r="C63" s="113" t="s">
        <v>115</v>
      </c>
      <c r="D63" s="373">
        <v>13</v>
      </c>
      <c r="E63" s="377">
        <v>0</v>
      </c>
      <c r="F63" s="380" t="str">
        <f t="shared" si="1"/>
        <v/>
      </c>
      <c r="G63" s="380">
        <f t="shared" si="2"/>
        <v>13</v>
      </c>
      <c r="H63" s="381">
        <v>4237</v>
      </c>
      <c r="I63" s="380"/>
      <c r="J63" s="381">
        <f t="shared" si="0"/>
        <v>55081</v>
      </c>
      <c r="K63" s="380">
        <f t="shared" si="3"/>
        <v>0</v>
      </c>
      <c r="L63" s="380" t="str">
        <f t="shared" si="4"/>
        <v/>
      </c>
      <c r="M63" s="380">
        <f t="shared" si="5"/>
        <v>55081</v>
      </c>
      <c r="N63" s="117"/>
    </row>
    <row r="64" spans="1:14" s="118" customFormat="1" ht="22.5" customHeight="1">
      <c r="A64" s="103" t="s">
        <v>138</v>
      </c>
      <c r="B64" s="112" t="s">
        <v>279</v>
      </c>
      <c r="C64" s="113" t="s">
        <v>115</v>
      </c>
      <c r="D64" s="373">
        <v>15</v>
      </c>
      <c r="E64" s="377">
        <v>15</v>
      </c>
      <c r="F64" s="380" t="str">
        <f t="shared" si="1"/>
        <v/>
      </c>
      <c r="G64" s="380" t="str">
        <f t="shared" si="2"/>
        <v/>
      </c>
      <c r="H64" s="381">
        <v>3338</v>
      </c>
      <c r="I64" s="380"/>
      <c r="J64" s="381">
        <f t="shared" si="0"/>
        <v>50070</v>
      </c>
      <c r="K64" s="380">
        <f t="shared" si="3"/>
        <v>50070</v>
      </c>
      <c r="L64" s="380" t="str">
        <f t="shared" si="4"/>
        <v/>
      </c>
      <c r="M64" s="380" t="str">
        <f t="shared" si="5"/>
        <v/>
      </c>
      <c r="N64" s="117"/>
    </row>
    <row r="65" spans="1:14" s="118" customFormat="1" ht="22.5" customHeight="1">
      <c r="A65" s="103" t="s">
        <v>139</v>
      </c>
      <c r="B65" s="112" t="s">
        <v>280</v>
      </c>
      <c r="C65" s="113" t="s">
        <v>115</v>
      </c>
      <c r="D65" s="373">
        <v>2</v>
      </c>
      <c r="E65" s="376">
        <v>10</v>
      </c>
      <c r="F65" s="380">
        <f t="shared" si="1"/>
        <v>8</v>
      </c>
      <c r="G65" s="380" t="str">
        <f t="shared" si="2"/>
        <v/>
      </c>
      <c r="H65" s="381">
        <v>3338</v>
      </c>
      <c r="I65" s="380"/>
      <c r="J65" s="381">
        <f t="shared" si="0"/>
        <v>6676</v>
      </c>
      <c r="K65" s="380">
        <f t="shared" si="3"/>
        <v>33380</v>
      </c>
      <c r="L65" s="380">
        <f t="shared" si="4"/>
        <v>26704</v>
      </c>
      <c r="M65" s="380" t="str">
        <f t="shared" si="5"/>
        <v/>
      </c>
      <c r="N65" s="117"/>
    </row>
    <row r="66" spans="1:14" s="118" customFormat="1" ht="22.5" customHeight="1">
      <c r="A66" s="103" t="s">
        <v>140</v>
      </c>
      <c r="B66" s="112" t="s">
        <v>330</v>
      </c>
      <c r="C66" s="113" t="s">
        <v>115</v>
      </c>
      <c r="D66" s="373">
        <v>672</v>
      </c>
      <c r="E66" s="377">
        <v>672</v>
      </c>
      <c r="F66" s="380" t="str">
        <f t="shared" si="1"/>
        <v/>
      </c>
      <c r="G66" s="380" t="str">
        <f t="shared" si="2"/>
        <v/>
      </c>
      <c r="H66" s="381">
        <v>135</v>
      </c>
      <c r="I66" s="380"/>
      <c r="J66" s="381">
        <f t="shared" si="0"/>
        <v>90720</v>
      </c>
      <c r="K66" s="383">
        <f t="shared" si="3"/>
        <v>90720</v>
      </c>
      <c r="L66" s="380" t="str">
        <f t="shared" si="4"/>
        <v/>
      </c>
      <c r="M66" s="380" t="str">
        <f t="shared" si="5"/>
        <v/>
      </c>
      <c r="N66" s="117"/>
    </row>
    <row r="67" spans="1:14" s="118" customFormat="1" ht="22.5" customHeight="1">
      <c r="A67" s="103" t="s">
        <v>141</v>
      </c>
      <c r="B67" s="112" t="s">
        <v>281</v>
      </c>
      <c r="C67" s="113" t="s">
        <v>115</v>
      </c>
      <c r="D67" s="373">
        <v>1404</v>
      </c>
      <c r="E67" s="377">
        <v>1404</v>
      </c>
      <c r="F67" s="380" t="str">
        <f t="shared" si="1"/>
        <v/>
      </c>
      <c r="G67" s="380" t="str">
        <f t="shared" si="2"/>
        <v/>
      </c>
      <c r="H67" s="381">
        <v>135</v>
      </c>
      <c r="I67" s="380"/>
      <c r="J67" s="381">
        <f t="shared" si="0"/>
        <v>189540</v>
      </c>
      <c r="K67" s="383">
        <f t="shared" si="3"/>
        <v>189540</v>
      </c>
      <c r="L67" s="380" t="str">
        <f t="shared" si="4"/>
        <v/>
      </c>
      <c r="M67" s="380" t="str">
        <f t="shared" si="5"/>
        <v/>
      </c>
      <c r="N67" s="117"/>
    </row>
    <row r="68" spans="1:14" s="118" customFormat="1" ht="22.5" customHeight="1">
      <c r="A68" s="103" t="s">
        <v>142</v>
      </c>
      <c r="B68" s="112" t="s">
        <v>282</v>
      </c>
      <c r="C68" s="113" t="s">
        <v>115</v>
      </c>
      <c r="D68" s="373">
        <v>240</v>
      </c>
      <c r="E68" s="376">
        <v>9558</v>
      </c>
      <c r="F68" s="380">
        <f t="shared" si="1"/>
        <v>9318</v>
      </c>
      <c r="G68" s="380" t="str">
        <f t="shared" si="2"/>
        <v/>
      </c>
      <c r="H68" s="381">
        <v>90</v>
      </c>
      <c r="I68" s="380"/>
      <c r="J68" s="381">
        <f t="shared" si="0"/>
        <v>21600</v>
      </c>
      <c r="K68" s="380">
        <f t="shared" si="3"/>
        <v>860220</v>
      </c>
      <c r="L68" s="380">
        <f t="shared" si="4"/>
        <v>838620</v>
      </c>
      <c r="M68" s="380" t="str">
        <f t="shared" si="5"/>
        <v/>
      </c>
      <c r="N68" s="117"/>
    </row>
    <row r="69" spans="1:14" s="118" customFormat="1" ht="22.5" customHeight="1">
      <c r="A69" s="103" t="s">
        <v>143</v>
      </c>
      <c r="B69" s="112" t="s">
        <v>283</v>
      </c>
      <c r="C69" s="113" t="s">
        <v>115</v>
      </c>
      <c r="D69" s="373">
        <v>3104</v>
      </c>
      <c r="E69" s="377">
        <v>0</v>
      </c>
      <c r="F69" s="380" t="str">
        <f t="shared" si="1"/>
        <v/>
      </c>
      <c r="G69" s="380">
        <f t="shared" si="2"/>
        <v>3104</v>
      </c>
      <c r="H69" s="381">
        <v>90</v>
      </c>
      <c r="I69" s="380"/>
      <c r="J69" s="381">
        <f t="shared" si="0"/>
        <v>279360</v>
      </c>
      <c r="K69" s="380">
        <f t="shared" si="3"/>
        <v>0</v>
      </c>
      <c r="L69" s="380" t="str">
        <f t="shared" si="4"/>
        <v/>
      </c>
      <c r="M69" s="380">
        <f t="shared" si="5"/>
        <v>279360</v>
      </c>
      <c r="N69" s="117"/>
    </row>
    <row r="70" spans="1:14" s="118" customFormat="1" ht="22.5" customHeight="1">
      <c r="A70" s="103" t="s">
        <v>144</v>
      </c>
      <c r="B70" s="155" t="s">
        <v>565</v>
      </c>
      <c r="C70" s="269" t="s">
        <v>1117</v>
      </c>
      <c r="D70" s="373">
        <v>0</v>
      </c>
      <c r="E70" s="376">
        <v>674</v>
      </c>
      <c r="F70" s="380">
        <f t="shared" si="1"/>
        <v>674</v>
      </c>
      <c r="G70" s="380" t="str">
        <f t="shared" si="2"/>
        <v/>
      </c>
      <c r="H70" s="381">
        <v>0</v>
      </c>
      <c r="I70" s="384">
        <f>新增單價分析表!F150</f>
        <v>283</v>
      </c>
      <c r="J70" s="381">
        <f t="shared" si="0"/>
        <v>0</v>
      </c>
      <c r="K70" s="380">
        <f>ROUND(E70*I70,0)</f>
        <v>190742</v>
      </c>
      <c r="L70" s="380">
        <f t="shared" si="4"/>
        <v>190742</v>
      </c>
      <c r="M70" s="380" t="str">
        <f t="shared" si="5"/>
        <v/>
      </c>
      <c r="N70" s="117"/>
    </row>
    <row r="71" spans="1:14" s="118" customFormat="1" ht="22.5" customHeight="1">
      <c r="A71" s="103" t="s">
        <v>145</v>
      </c>
      <c r="B71" s="155" t="s">
        <v>1118</v>
      </c>
      <c r="C71" s="269" t="s">
        <v>1119</v>
      </c>
      <c r="D71" s="373">
        <v>0</v>
      </c>
      <c r="E71" s="376">
        <v>1397</v>
      </c>
      <c r="F71" s="380">
        <f t="shared" si="1"/>
        <v>1397</v>
      </c>
      <c r="G71" s="380" t="str">
        <f t="shared" si="2"/>
        <v/>
      </c>
      <c r="H71" s="381">
        <v>0</v>
      </c>
      <c r="I71" s="380">
        <f>新增單價分析表!F157</f>
        <v>235</v>
      </c>
      <c r="J71" s="381">
        <f t="shared" ref="J71:K90" si="6">ROUND(D71*H71,0)</f>
        <v>0</v>
      </c>
      <c r="K71" s="380">
        <f t="shared" si="6"/>
        <v>328295</v>
      </c>
      <c r="L71" s="380">
        <f t="shared" si="4"/>
        <v>328295</v>
      </c>
      <c r="M71" s="380" t="str">
        <f t="shared" si="5"/>
        <v/>
      </c>
      <c r="N71" s="117"/>
    </row>
    <row r="72" spans="1:14" s="118" customFormat="1" ht="22.5" customHeight="1">
      <c r="A72" s="103" t="s">
        <v>146</v>
      </c>
      <c r="B72" s="155" t="s">
        <v>595</v>
      </c>
      <c r="C72" s="269" t="s">
        <v>1120</v>
      </c>
      <c r="D72" s="373">
        <v>0</v>
      </c>
      <c r="E72" s="376">
        <v>4</v>
      </c>
      <c r="F72" s="380">
        <f t="shared" ref="F72:F86" si="7">IF(E72&gt;D72,E72-D72,"")</f>
        <v>4</v>
      </c>
      <c r="G72" s="380" t="str">
        <f t="shared" ref="G72:G86" si="8">IF(E72&lt;D72,D72-E72,"")</f>
        <v/>
      </c>
      <c r="H72" s="381">
        <v>0</v>
      </c>
      <c r="I72" s="380">
        <f>新增單價分析表!F170</f>
        <v>9710</v>
      </c>
      <c r="J72" s="381">
        <f t="shared" si="6"/>
        <v>0</v>
      </c>
      <c r="K72" s="380">
        <f t="shared" si="6"/>
        <v>38840</v>
      </c>
      <c r="L72" s="380">
        <f t="shared" ref="L72:L90" si="9">IF(K72&gt;J72,K72-J72,"")</f>
        <v>38840</v>
      </c>
      <c r="M72" s="380" t="str">
        <f t="shared" ref="M72:M90" si="10">IF(K72&lt;J72,J72-K72,"")</f>
        <v/>
      </c>
      <c r="N72" s="117"/>
    </row>
    <row r="73" spans="1:14" s="118" customFormat="1" ht="33">
      <c r="A73" s="103" t="s">
        <v>147</v>
      </c>
      <c r="B73" s="388" t="s">
        <v>1342</v>
      </c>
      <c r="C73" s="269" t="s">
        <v>1121</v>
      </c>
      <c r="D73" s="373">
        <v>0</v>
      </c>
      <c r="E73" s="376">
        <v>22</v>
      </c>
      <c r="F73" s="380">
        <f>IF(E73&gt;D73,E73-D73,"")</f>
        <v>22</v>
      </c>
      <c r="G73" s="380" t="str">
        <f>IF(E73&lt;D73,D73-E73,"")</f>
        <v/>
      </c>
      <c r="H73" s="381">
        <v>0</v>
      </c>
      <c r="I73" s="380">
        <f>新增單價分析表!F180</f>
        <v>8245</v>
      </c>
      <c r="J73" s="381">
        <f>ROUND(D73*H73,0)</f>
        <v>0</v>
      </c>
      <c r="K73" s="380">
        <f>ROUND(E73*I73,0)</f>
        <v>181390</v>
      </c>
      <c r="L73" s="380">
        <f>IF(K73&gt;J73,K73-J73,"")</f>
        <v>181390</v>
      </c>
      <c r="M73" s="380" t="str">
        <f>IF(K73&lt;J73,J73-K73,"")</f>
        <v/>
      </c>
      <c r="N73" s="117"/>
    </row>
    <row r="74" spans="1:14" s="118" customFormat="1" ht="22.5" customHeight="1">
      <c r="A74" s="103" t="s">
        <v>148</v>
      </c>
      <c r="B74" s="155" t="s">
        <v>1122</v>
      </c>
      <c r="C74" s="269" t="s">
        <v>1123</v>
      </c>
      <c r="D74" s="373">
        <v>0</v>
      </c>
      <c r="E74" s="376">
        <v>1</v>
      </c>
      <c r="F74" s="380">
        <f t="shared" si="7"/>
        <v>1</v>
      </c>
      <c r="G74" s="380" t="str">
        <f t="shared" si="8"/>
        <v/>
      </c>
      <c r="H74" s="381">
        <v>0</v>
      </c>
      <c r="I74" s="380">
        <f>新增單價分析表!F187</f>
        <v>13726</v>
      </c>
      <c r="J74" s="381">
        <f t="shared" si="6"/>
        <v>0</v>
      </c>
      <c r="K74" s="380">
        <f t="shared" si="6"/>
        <v>13726</v>
      </c>
      <c r="L74" s="380">
        <f t="shared" si="9"/>
        <v>13726</v>
      </c>
      <c r="M74" s="380" t="str">
        <f t="shared" si="10"/>
        <v/>
      </c>
      <c r="N74" s="117"/>
    </row>
    <row r="75" spans="1:14" s="118" customFormat="1" ht="22.5" customHeight="1">
      <c r="A75" s="103" t="s">
        <v>151</v>
      </c>
      <c r="B75" s="155" t="s">
        <v>1124</v>
      </c>
      <c r="C75" s="269" t="s">
        <v>1123</v>
      </c>
      <c r="D75" s="373">
        <v>0</v>
      </c>
      <c r="E75" s="376">
        <v>2</v>
      </c>
      <c r="F75" s="380">
        <f t="shared" si="7"/>
        <v>2</v>
      </c>
      <c r="G75" s="380" t="str">
        <f t="shared" si="8"/>
        <v/>
      </c>
      <c r="H75" s="381">
        <v>0</v>
      </c>
      <c r="I75" s="380">
        <f>新增單價分析表!F194</f>
        <v>12648</v>
      </c>
      <c r="J75" s="381">
        <f t="shared" si="6"/>
        <v>0</v>
      </c>
      <c r="K75" s="439">
        <f t="shared" si="6"/>
        <v>25296</v>
      </c>
      <c r="L75" s="439">
        <f t="shared" si="9"/>
        <v>25296</v>
      </c>
      <c r="M75" s="380" t="str">
        <f t="shared" si="10"/>
        <v/>
      </c>
      <c r="N75" s="117"/>
    </row>
    <row r="76" spans="1:14" s="118" customFormat="1" ht="22.5" customHeight="1">
      <c r="A76" s="103" t="s">
        <v>152</v>
      </c>
      <c r="B76" s="155" t="s">
        <v>1125</v>
      </c>
      <c r="C76" s="269" t="s">
        <v>1123</v>
      </c>
      <c r="D76" s="373">
        <v>0</v>
      </c>
      <c r="E76" s="376">
        <v>1</v>
      </c>
      <c r="F76" s="380">
        <f t="shared" si="7"/>
        <v>1</v>
      </c>
      <c r="G76" s="380" t="str">
        <f t="shared" si="8"/>
        <v/>
      </c>
      <c r="H76" s="381">
        <v>0</v>
      </c>
      <c r="I76" s="380">
        <f>新增單價分析表!F201</f>
        <v>12647.73</v>
      </c>
      <c r="J76" s="381">
        <f t="shared" si="6"/>
        <v>0</v>
      </c>
      <c r="K76" s="380">
        <f t="shared" si="6"/>
        <v>12648</v>
      </c>
      <c r="L76" s="380">
        <f t="shared" si="9"/>
        <v>12648</v>
      </c>
      <c r="M76" s="380" t="str">
        <f t="shared" si="10"/>
        <v/>
      </c>
      <c r="N76" s="117"/>
    </row>
    <row r="77" spans="1:14" s="118" customFormat="1" ht="22.5" customHeight="1">
      <c r="A77" s="103" t="s">
        <v>557</v>
      </c>
      <c r="B77" s="155" t="s">
        <v>1126</v>
      </c>
      <c r="C77" s="269" t="s">
        <v>1127</v>
      </c>
      <c r="D77" s="373">
        <v>0</v>
      </c>
      <c r="E77" s="376">
        <v>58</v>
      </c>
      <c r="F77" s="380">
        <f t="shared" si="7"/>
        <v>58</v>
      </c>
      <c r="G77" s="380" t="str">
        <f t="shared" si="8"/>
        <v/>
      </c>
      <c r="H77" s="381">
        <v>0</v>
      </c>
      <c r="I77" s="380">
        <f>新增單價分析表!F215</f>
        <v>1939</v>
      </c>
      <c r="J77" s="381">
        <f t="shared" si="6"/>
        <v>0</v>
      </c>
      <c r="K77" s="380">
        <f t="shared" si="6"/>
        <v>112462</v>
      </c>
      <c r="L77" s="380">
        <f t="shared" si="9"/>
        <v>112462</v>
      </c>
      <c r="M77" s="380" t="str">
        <f t="shared" si="10"/>
        <v/>
      </c>
      <c r="N77" s="117"/>
    </row>
    <row r="78" spans="1:14" s="118" customFormat="1" ht="22.5" customHeight="1">
      <c r="A78" s="103" t="s">
        <v>558</v>
      </c>
      <c r="B78" s="155" t="s">
        <v>602</v>
      </c>
      <c r="C78" s="269" t="s">
        <v>1127</v>
      </c>
      <c r="D78" s="373">
        <v>0</v>
      </c>
      <c r="E78" s="376">
        <v>12</v>
      </c>
      <c r="F78" s="380">
        <f t="shared" si="7"/>
        <v>12</v>
      </c>
      <c r="G78" s="380" t="str">
        <f t="shared" si="8"/>
        <v/>
      </c>
      <c r="H78" s="381">
        <v>0</v>
      </c>
      <c r="I78" s="380">
        <f>新增單價分析表!F229</f>
        <v>2461</v>
      </c>
      <c r="J78" s="381">
        <f t="shared" si="6"/>
        <v>0</v>
      </c>
      <c r="K78" s="380">
        <f t="shared" si="6"/>
        <v>29532</v>
      </c>
      <c r="L78" s="380">
        <f t="shared" si="9"/>
        <v>29532</v>
      </c>
      <c r="M78" s="380" t="str">
        <f t="shared" si="10"/>
        <v/>
      </c>
      <c r="N78" s="117"/>
    </row>
    <row r="79" spans="1:14" s="118" customFormat="1" ht="22.5" customHeight="1">
      <c r="A79" s="103" t="s">
        <v>559</v>
      </c>
      <c r="B79" s="155" t="s">
        <v>603</v>
      </c>
      <c r="C79" s="269" t="s">
        <v>1128</v>
      </c>
      <c r="D79" s="373">
        <v>0</v>
      </c>
      <c r="E79" s="376">
        <v>1</v>
      </c>
      <c r="F79" s="380">
        <f t="shared" si="7"/>
        <v>1</v>
      </c>
      <c r="G79" s="380" t="str">
        <f t="shared" si="8"/>
        <v/>
      </c>
      <c r="H79" s="381">
        <v>0</v>
      </c>
      <c r="I79" s="380">
        <f>新增單價分析表!F245</f>
        <v>381572</v>
      </c>
      <c r="J79" s="381">
        <f t="shared" si="6"/>
        <v>0</v>
      </c>
      <c r="K79" s="380">
        <f t="shared" si="6"/>
        <v>381572</v>
      </c>
      <c r="L79" s="380">
        <f t="shared" si="9"/>
        <v>381572</v>
      </c>
      <c r="M79" s="380" t="str">
        <f t="shared" si="10"/>
        <v/>
      </c>
      <c r="N79" s="117"/>
    </row>
    <row r="80" spans="1:14" s="118" customFormat="1" ht="22.5" customHeight="1">
      <c r="A80" s="103" t="s">
        <v>560</v>
      </c>
      <c r="B80" s="155" t="s">
        <v>604</v>
      </c>
      <c r="C80" s="269" t="s">
        <v>1123</v>
      </c>
      <c r="D80" s="373">
        <v>0</v>
      </c>
      <c r="E80" s="376">
        <v>4</v>
      </c>
      <c r="F80" s="380">
        <f t="shared" si="7"/>
        <v>4</v>
      </c>
      <c r="G80" s="380" t="str">
        <f t="shared" si="8"/>
        <v/>
      </c>
      <c r="H80" s="381">
        <v>0</v>
      </c>
      <c r="I80" s="380">
        <f>新增單價分析表!F262</f>
        <v>24219</v>
      </c>
      <c r="J80" s="381">
        <f t="shared" si="6"/>
        <v>0</v>
      </c>
      <c r="K80" s="380">
        <f t="shared" si="6"/>
        <v>96876</v>
      </c>
      <c r="L80" s="380">
        <f t="shared" si="9"/>
        <v>96876</v>
      </c>
      <c r="M80" s="380" t="str">
        <f t="shared" si="10"/>
        <v/>
      </c>
      <c r="N80" s="117"/>
    </row>
    <row r="81" spans="1:14" s="118" customFormat="1" ht="22.5" customHeight="1">
      <c r="A81" s="103" t="s">
        <v>561</v>
      </c>
      <c r="B81" s="155" t="s">
        <v>605</v>
      </c>
      <c r="C81" s="269" t="s">
        <v>1127</v>
      </c>
      <c r="D81" s="373">
        <v>0</v>
      </c>
      <c r="E81" s="376">
        <v>60</v>
      </c>
      <c r="F81" s="380">
        <f t="shared" si="7"/>
        <v>60</v>
      </c>
      <c r="G81" s="380" t="str">
        <f t="shared" si="8"/>
        <v/>
      </c>
      <c r="H81" s="381">
        <v>0</v>
      </c>
      <c r="I81" s="380">
        <f>新增單價分析表!F278</f>
        <v>3493</v>
      </c>
      <c r="J81" s="381">
        <f t="shared" si="6"/>
        <v>0</v>
      </c>
      <c r="K81" s="380">
        <f t="shared" si="6"/>
        <v>209580</v>
      </c>
      <c r="L81" s="380">
        <f t="shared" si="9"/>
        <v>209580</v>
      </c>
      <c r="M81" s="380" t="str">
        <f t="shared" si="10"/>
        <v/>
      </c>
      <c r="N81" s="117"/>
    </row>
    <row r="82" spans="1:14" s="118" customFormat="1" ht="22.5" customHeight="1">
      <c r="A82" s="103" t="s">
        <v>562</v>
      </c>
      <c r="B82" s="155" t="s">
        <v>606</v>
      </c>
      <c r="C82" s="269" t="s">
        <v>1119</v>
      </c>
      <c r="D82" s="373">
        <v>0</v>
      </c>
      <c r="E82" s="376">
        <v>18</v>
      </c>
      <c r="F82" s="380">
        <f t="shared" si="7"/>
        <v>18</v>
      </c>
      <c r="G82" s="380" t="str">
        <f t="shared" si="8"/>
        <v/>
      </c>
      <c r="H82" s="381">
        <v>0</v>
      </c>
      <c r="I82" s="380">
        <f>新增單價分析表!F295</f>
        <v>9699</v>
      </c>
      <c r="J82" s="381">
        <f t="shared" si="6"/>
        <v>0</v>
      </c>
      <c r="K82" s="380">
        <f t="shared" si="6"/>
        <v>174582</v>
      </c>
      <c r="L82" s="380">
        <f t="shared" si="9"/>
        <v>174582</v>
      </c>
      <c r="M82" s="380" t="str">
        <f t="shared" si="10"/>
        <v/>
      </c>
      <c r="N82" s="117"/>
    </row>
    <row r="83" spans="1:14" s="118" customFormat="1" ht="33">
      <c r="A83" s="103" t="s">
        <v>563</v>
      </c>
      <c r="B83" s="388" t="s">
        <v>1341</v>
      </c>
      <c r="C83" s="269" t="s">
        <v>1129</v>
      </c>
      <c r="D83" s="373">
        <v>0</v>
      </c>
      <c r="E83" s="376">
        <v>16</v>
      </c>
      <c r="F83" s="380">
        <f t="shared" si="7"/>
        <v>16</v>
      </c>
      <c r="G83" s="380" t="str">
        <f t="shared" si="8"/>
        <v/>
      </c>
      <c r="H83" s="381">
        <v>0</v>
      </c>
      <c r="I83" s="380">
        <f>新增單價分析表!F305</f>
        <v>3855</v>
      </c>
      <c r="J83" s="381">
        <f t="shared" si="6"/>
        <v>0</v>
      </c>
      <c r="K83" s="380">
        <f t="shared" si="6"/>
        <v>61680</v>
      </c>
      <c r="L83" s="380">
        <f t="shared" si="9"/>
        <v>61680</v>
      </c>
      <c r="M83" s="380" t="str">
        <f t="shared" si="10"/>
        <v/>
      </c>
      <c r="N83" s="117"/>
    </row>
    <row r="84" spans="1:14" s="118" customFormat="1" ht="22.5" customHeight="1">
      <c r="A84" s="103" t="s">
        <v>564</v>
      </c>
      <c r="B84" s="155" t="s">
        <v>1130</v>
      </c>
      <c r="C84" s="269" t="s">
        <v>1129</v>
      </c>
      <c r="D84" s="373">
        <v>0</v>
      </c>
      <c r="E84" s="376">
        <v>1323</v>
      </c>
      <c r="F84" s="380">
        <f t="shared" si="7"/>
        <v>1323</v>
      </c>
      <c r="G84" s="380" t="str">
        <f t="shared" si="8"/>
        <v/>
      </c>
      <c r="H84" s="381">
        <v>0</v>
      </c>
      <c r="I84" s="380">
        <f>新增單價分析表!F313</f>
        <v>97</v>
      </c>
      <c r="J84" s="381">
        <f t="shared" si="6"/>
        <v>0</v>
      </c>
      <c r="K84" s="380">
        <f t="shared" si="6"/>
        <v>128331</v>
      </c>
      <c r="L84" s="380">
        <f t="shared" si="9"/>
        <v>128331</v>
      </c>
      <c r="M84" s="380" t="str">
        <f t="shared" si="10"/>
        <v/>
      </c>
      <c r="N84" s="117"/>
    </row>
    <row r="85" spans="1:14" s="118" customFormat="1" ht="22.5" customHeight="1">
      <c r="A85" s="103" t="s">
        <v>598</v>
      </c>
      <c r="B85" s="155" t="s">
        <v>610</v>
      </c>
      <c r="C85" s="269" t="s">
        <v>1129</v>
      </c>
      <c r="D85" s="373">
        <v>0</v>
      </c>
      <c r="E85" s="376">
        <v>1920</v>
      </c>
      <c r="F85" s="380">
        <f t="shared" si="7"/>
        <v>1920</v>
      </c>
      <c r="G85" s="380" t="str">
        <f t="shared" si="8"/>
        <v/>
      </c>
      <c r="H85" s="381">
        <v>0</v>
      </c>
      <c r="I85" s="380">
        <f>新增單價分析表!F321</f>
        <v>94</v>
      </c>
      <c r="J85" s="381">
        <f t="shared" si="6"/>
        <v>0</v>
      </c>
      <c r="K85" s="380">
        <f t="shared" si="6"/>
        <v>180480</v>
      </c>
      <c r="L85" s="380">
        <f t="shared" si="9"/>
        <v>180480</v>
      </c>
      <c r="M85" s="380" t="str">
        <f t="shared" si="10"/>
        <v/>
      </c>
      <c r="N85" s="117"/>
    </row>
    <row r="86" spans="1:14" s="118" customFormat="1" ht="22.5" customHeight="1">
      <c r="A86" s="103" t="s">
        <v>599</v>
      </c>
      <c r="B86" s="155" t="s">
        <v>1131</v>
      </c>
      <c r="C86" s="269" t="s">
        <v>1129</v>
      </c>
      <c r="D86" s="373">
        <v>0</v>
      </c>
      <c r="E86" s="376">
        <v>1800</v>
      </c>
      <c r="F86" s="380">
        <f t="shared" si="7"/>
        <v>1800</v>
      </c>
      <c r="G86" s="380" t="str">
        <f t="shared" si="8"/>
        <v/>
      </c>
      <c r="H86" s="381">
        <v>0</v>
      </c>
      <c r="I86" s="380">
        <f>新增單價分析表!F329</f>
        <v>182</v>
      </c>
      <c r="J86" s="381">
        <f t="shared" si="6"/>
        <v>0</v>
      </c>
      <c r="K86" s="380">
        <f t="shared" si="6"/>
        <v>327600</v>
      </c>
      <c r="L86" s="380">
        <f t="shared" si="9"/>
        <v>327600</v>
      </c>
      <c r="M86" s="380" t="str">
        <f t="shared" si="10"/>
        <v/>
      </c>
      <c r="N86" s="117"/>
    </row>
    <row r="87" spans="1:14" s="118" customFormat="1" ht="22.5" customHeight="1">
      <c r="A87" s="103" t="s">
        <v>600</v>
      </c>
      <c r="B87" s="155" t="s">
        <v>607</v>
      </c>
      <c r="C87" s="269" t="s">
        <v>1123</v>
      </c>
      <c r="D87" s="373">
        <v>0</v>
      </c>
      <c r="E87" s="376">
        <v>14</v>
      </c>
      <c r="F87" s="380">
        <f>IF(E87&gt;D87,E87-D87,"")</f>
        <v>14</v>
      </c>
      <c r="G87" s="380" t="str">
        <f>IF(E87&lt;D87,D87-E87,"")</f>
        <v/>
      </c>
      <c r="H87" s="381">
        <v>0</v>
      </c>
      <c r="I87" s="380">
        <f>新增單價分析表!F345</f>
        <v>13630</v>
      </c>
      <c r="J87" s="381">
        <f>ROUND(D87*H87,0)</f>
        <v>0</v>
      </c>
      <c r="K87" s="380">
        <f>ROUND(E87*I87,0)</f>
        <v>190820</v>
      </c>
      <c r="L87" s="380">
        <f>IF(K87&gt;J87,K87-J87,"")</f>
        <v>190820</v>
      </c>
      <c r="M87" s="380" t="str">
        <f>IF(K87&lt;J87,J87-K87,"")</f>
        <v/>
      </c>
      <c r="N87" s="117"/>
    </row>
    <row r="88" spans="1:14" s="118" customFormat="1" ht="22.5" customHeight="1">
      <c r="A88" s="103" t="s">
        <v>601</v>
      </c>
      <c r="B88" s="155" t="s">
        <v>608</v>
      </c>
      <c r="C88" s="269" t="s">
        <v>1123</v>
      </c>
      <c r="D88" s="373">
        <v>0</v>
      </c>
      <c r="E88" s="376">
        <v>103</v>
      </c>
      <c r="F88" s="380">
        <f>IF(E88&gt;D88,E88-D88,"")</f>
        <v>103</v>
      </c>
      <c r="G88" s="380" t="str">
        <f>IF(E88&lt;D88,D88-E88,"")</f>
        <v/>
      </c>
      <c r="H88" s="381">
        <v>0</v>
      </c>
      <c r="I88" s="380">
        <f>新增單價分析表!F352</f>
        <v>1456</v>
      </c>
      <c r="J88" s="381">
        <f>ROUND(D88*H88,0)</f>
        <v>0</v>
      </c>
      <c r="K88" s="439">
        <f>ROUND(E88*I88,0)</f>
        <v>149968</v>
      </c>
      <c r="L88" s="439">
        <f>IF(K88&gt;J88,K88-J88,"")</f>
        <v>149968</v>
      </c>
      <c r="M88" s="380" t="str">
        <f>IF(K88&lt;J88,J88-K88,"")</f>
        <v/>
      </c>
      <c r="N88" s="117"/>
    </row>
    <row r="89" spans="1:14" s="118" customFormat="1" ht="22.5" customHeight="1">
      <c r="A89" s="103" t="s">
        <v>609</v>
      </c>
      <c r="B89" s="155" t="s">
        <v>1132</v>
      </c>
      <c r="C89" s="269" t="s">
        <v>1123</v>
      </c>
      <c r="D89" s="373">
        <v>0</v>
      </c>
      <c r="E89" s="376">
        <v>45</v>
      </c>
      <c r="F89" s="380">
        <f t="shared" ref="F89:F90" si="11">IF(E89&gt;D89,E89-D89,"")</f>
        <v>45</v>
      </c>
      <c r="G89" s="380" t="str">
        <f t="shared" ref="G89:G90" si="12">IF(E89&lt;D89,D89-E89,"")</f>
        <v/>
      </c>
      <c r="H89" s="381">
        <v>0</v>
      </c>
      <c r="I89" s="380">
        <f>新增單價分析表!F364</f>
        <v>3972</v>
      </c>
      <c r="J89" s="381">
        <f t="shared" si="6"/>
        <v>0</v>
      </c>
      <c r="K89" s="380">
        <f t="shared" si="6"/>
        <v>178740</v>
      </c>
      <c r="L89" s="380">
        <f t="shared" si="9"/>
        <v>178740</v>
      </c>
      <c r="M89" s="380" t="str">
        <f t="shared" si="10"/>
        <v/>
      </c>
      <c r="N89" s="117"/>
    </row>
    <row r="90" spans="1:14" s="118" customFormat="1" ht="22.5" customHeight="1">
      <c r="A90" s="103" t="s">
        <v>948</v>
      </c>
      <c r="B90" s="347" t="s">
        <v>1133</v>
      </c>
      <c r="C90" s="348" t="s">
        <v>1127</v>
      </c>
      <c r="D90" s="377"/>
      <c r="E90" s="376">
        <v>299</v>
      </c>
      <c r="F90" s="384">
        <f t="shared" si="11"/>
        <v>299</v>
      </c>
      <c r="G90" s="384" t="str">
        <f t="shared" si="12"/>
        <v/>
      </c>
      <c r="H90" s="385">
        <v>0</v>
      </c>
      <c r="I90" s="384">
        <f>新增單價分析表!F374</f>
        <v>961</v>
      </c>
      <c r="J90" s="385"/>
      <c r="K90" s="384">
        <f t="shared" si="6"/>
        <v>287339</v>
      </c>
      <c r="L90" s="384">
        <f t="shared" si="9"/>
        <v>287339</v>
      </c>
      <c r="M90" s="384" t="str">
        <f t="shared" si="10"/>
        <v/>
      </c>
      <c r="N90" s="349"/>
    </row>
    <row r="91" spans="1:14" s="118" customFormat="1" ht="22.5" customHeight="1">
      <c r="A91" s="103"/>
      <c r="B91" s="112" t="s">
        <v>1134</v>
      </c>
      <c r="C91" s="113"/>
      <c r="D91" s="373"/>
      <c r="E91" s="377"/>
      <c r="F91" s="380"/>
      <c r="G91" s="380"/>
      <c r="H91" s="381"/>
      <c r="I91" s="380"/>
      <c r="J91" s="381">
        <f>SUM(J7:J89)</f>
        <v>36681589</v>
      </c>
      <c r="K91" s="380">
        <f>SUM(K7:K90)</f>
        <v>36467710</v>
      </c>
      <c r="L91" s="380">
        <f>SUM(L7:L90)</f>
        <v>9246492</v>
      </c>
      <c r="M91" s="380">
        <f>SUM(M7:M89)</f>
        <v>9460371</v>
      </c>
      <c r="N91" s="117"/>
    </row>
    <row r="92" spans="1:14" s="111" customFormat="1" ht="22.5" customHeight="1">
      <c r="A92" s="103" t="s">
        <v>1135</v>
      </c>
      <c r="B92" s="112" t="s">
        <v>278</v>
      </c>
      <c r="C92" s="113"/>
      <c r="D92" s="373"/>
      <c r="E92" s="377"/>
      <c r="F92" s="380"/>
      <c r="G92" s="380"/>
      <c r="H92" s="381"/>
      <c r="I92" s="380"/>
      <c r="J92" s="381"/>
      <c r="K92" s="383"/>
      <c r="L92" s="381"/>
      <c r="M92" s="381"/>
      <c r="N92" s="120"/>
    </row>
    <row r="93" spans="1:14" s="111" customFormat="1" ht="22.5" customHeight="1">
      <c r="A93" s="103" t="s">
        <v>71</v>
      </c>
      <c r="B93" s="112" t="s">
        <v>284</v>
      </c>
      <c r="C93" s="113" t="s">
        <v>118</v>
      </c>
      <c r="D93" s="373">
        <v>1</v>
      </c>
      <c r="E93" s="377">
        <v>1</v>
      </c>
      <c r="F93" s="380" t="str">
        <f t="shared" ref="F93:F136" si="13">IF(E93&gt;D93,E93-D93,"")</f>
        <v/>
      </c>
      <c r="G93" s="380" t="str">
        <f t="shared" ref="G93:G171" si="14">IF(E93&lt;D93,D93-E93,"")</f>
        <v/>
      </c>
      <c r="H93" s="381">
        <v>4414</v>
      </c>
      <c r="I93" s="380"/>
      <c r="J93" s="381">
        <f t="shared" ref="J93:J111" si="15">ROUND(D93*H93,0)</f>
        <v>4414</v>
      </c>
      <c r="K93" s="383">
        <f t="shared" ref="K93:K111" si="16">E93*H93</f>
        <v>4414</v>
      </c>
      <c r="L93" s="380" t="str">
        <f>IF(K93&gt;J93,K93-J93,"")</f>
        <v/>
      </c>
      <c r="M93" s="381" t="str">
        <f>IF(K93&lt;J93,J93-K93,"")</f>
        <v/>
      </c>
      <c r="N93" s="121"/>
    </row>
    <row r="94" spans="1:14" s="111" customFormat="1" ht="22.5" customHeight="1">
      <c r="A94" s="103" t="s">
        <v>73</v>
      </c>
      <c r="B94" s="112" t="s">
        <v>285</v>
      </c>
      <c r="C94" s="113" t="s">
        <v>119</v>
      </c>
      <c r="D94" s="373">
        <v>1</v>
      </c>
      <c r="E94" s="377">
        <v>1</v>
      </c>
      <c r="F94" s="380" t="str">
        <f t="shared" si="13"/>
        <v/>
      </c>
      <c r="G94" s="380" t="str">
        <f t="shared" si="14"/>
        <v/>
      </c>
      <c r="H94" s="381">
        <v>112433</v>
      </c>
      <c r="I94" s="380"/>
      <c r="J94" s="381">
        <f t="shared" si="15"/>
        <v>112433</v>
      </c>
      <c r="K94" s="383">
        <f t="shared" si="16"/>
        <v>112433</v>
      </c>
      <c r="L94" s="380" t="str">
        <f t="shared" ref="L94:L104" si="17">IF(K94&gt;J94,K94-J94,"")</f>
        <v/>
      </c>
      <c r="M94" s="380" t="str">
        <f t="shared" ref="M94:M104" si="18">IF(K94&lt;J94,J94-K94,"")</f>
        <v/>
      </c>
      <c r="N94" s="121"/>
    </row>
    <row r="95" spans="1:14" s="111" customFormat="1" ht="22.5" customHeight="1">
      <c r="A95" s="103" t="s">
        <v>74</v>
      </c>
      <c r="B95" s="112" t="s">
        <v>331</v>
      </c>
      <c r="C95" s="113" t="s">
        <v>119</v>
      </c>
      <c r="D95" s="373">
        <v>1</v>
      </c>
      <c r="E95" s="377">
        <v>1</v>
      </c>
      <c r="F95" s="380"/>
      <c r="G95" s="380"/>
      <c r="H95" s="381">
        <v>19988</v>
      </c>
      <c r="I95" s="380"/>
      <c r="J95" s="381">
        <f t="shared" si="15"/>
        <v>19988</v>
      </c>
      <c r="K95" s="383">
        <f t="shared" si="16"/>
        <v>19988</v>
      </c>
      <c r="L95" s="380"/>
      <c r="M95" s="380"/>
      <c r="N95" s="121"/>
    </row>
    <row r="96" spans="1:14" s="111" customFormat="1" ht="22.5" customHeight="1">
      <c r="A96" s="103" t="s">
        <v>76</v>
      </c>
      <c r="B96" s="112" t="s">
        <v>286</v>
      </c>
      <c r="C96" s="113" t="s">
        <v>119</v>
      </c>
      <c r="D96" s="373">
        <v>1</v>
      </c>
      <c r="E96" s="377">
        <v>1</v>
      </c>
      <c r="F96" s="380" t="str">
        <f t="shared" si="13"/>
        <v/>
      </c>
      <c r="G96" s="380" t="str">
        <f t="shared" si="14"/>
        <v/>
      </c>
      <c r="H96" s="381">
        <v>143914</v>
      </c>
      <c r="I96" s="380"/>
      <c r="J96" s="381">
        <f t="shared" si="15"/>
        <v>143914</v>
      </c>
      <c r="K96" s="383">
        <f>E96*H96</f>
        <v>143914</v>
      </c>
      <c r="L96" s="380" t="str">
        <f t="shared" si="17"/>
        <v/>
      </c>
      <c r="M96" s="381" t="str">
        <f t="shared" si="18"/>
        <v/>
      </c>
      <c r="N96" s="121"/>
    </row>
    <row r="97" spans="1:14" s="111" customFormat="1">
      <c r="A97" s="626" t="s">
        <v>78</v>
      </c>
      <c r="B97" s="628" t="s">
        <v>287</v>
      </c>
      <c r="C97" s="630" t="s">
        <v>119</v>
      </c>
      <c r="D97" s="632">
        <v>1</v>
      </c>
      <c r="E97" s="638">
        <v>1</v>
      </c>
      <c r="F97" s="618" t="str">
        <f t="shared" si="13"/>
        <v/>
      </c>
      <c r="G97" s="618" t="str">
        <f t="shared" si="14"/>
        <v/>
      </c>
      <c r="H97" s="382">
        <v>9994</v>
      </c>
      <c r="I97" s="622"/>
      <c r="J97" s="624">
        <f t="shared" si="15"/>
        <v>9994</v>
      </c>
      <c r="K97" s="618">
        <f>E97*H98</f>
        <v>23378</v>
      </c>
      <c r="L97" s="618">
        <f t="shared" si="17"/>
        <v>13384</v>
      </c>
      <c r="M97" s="618" t="str">
        <f t="shared" si="18"/>
        <v/>
      </c>
      <c r="N97" s="620"/>
    </row>
    <row r="98" spans="1:14" s="111" customFormat="1">
      <c r="A98" s="627"/>
      <c r="B98" s="629"/>
      <c r="C98" s="631"/>
      <c r="D98" s="633"/>
      <c r="E98" s="639"/>
      <c r="F98" s="619"/>
      <c r="G98" s="619"/>
      <c r="H98" s="380">
        <v>23378</v>
      </c>
      <c r="I98" s="623"/>
      <c r="J98" s="625"/>
      <c r="K98" s="619"/>
      <c r="L98" s="619"/>
      <c r="M98" s="619"/>
      <c r="N98" s="621"/>
    </row>
    <row r="99" spans="1:14" s="111" customFormat="1" ht="22.5" customHeight="1">
      <c r="A99" s="103" t="s">
        <v>79</v>
      </c>
      <c r="B99" s="112" t="s">
        <v>288</v>
      </c>
      <c r="C99" s="113" t="s">
        <v>119</v>
      </c>
      <c r="D99" s="373">
        <v>1</v>
      </c>
      <c r="E99" s="377">
        <v>1</v>
      </c>
      <c r="F99" s="380" t="str">
        <f t="shared" si="13"/>
        <v/>
      </c>
      <c r="G99" s="380" t="str">
        <f t="shared" si="14"/>
        <v/>
      </c>
      <c r="H99" s="381">
        <v>35978</v>
      </c>
      <c r="I99" s="380"/>
      <c r="J99" s="381">
        <f t="shared" si="15"/>
        <v>35978</v>
      </c>
      <c r="K99" s="383">
        <f t="shared" si="16"/>
        <v>35978</v>
      </c>
      <c r="L99" s="381" t="str">
        <f t="shared" si="17"/>
        <v/>
      </c>
      <c r="M99" s="381" t="str">
        <f t="shared" si="18"/>
        <v/>
      </c>
      <c r="N99" s="121"/>
    </row>
    <row r="100" spans="1:14" s="111" customFormat="1" ht="22.5" customHeight="1">
      <c r="A100" s="103" t="s">
        <v>80</v>
      </c>
      <c r="B100" s="112" t="s">
        <v>289</v>
      </c>
      <c r="C100" s="113" t="s">
        <v>119</v>
      </c>
      <c r="D100" s="373">
        <v>1</v>
      </c>
      <c r="E100" s="377">
        <v>1</v>
      </c>
      <c r="F100" s="380" t="str">
        <f t="shared" si="13"/>
        <v/>
      </c>
      <c r="G100" s="380" t="str">
        <f t="shared" si="14"/>
        <v/>
      </c>
      <c r="H100" s="381">
        <v>107685</v>
      </c>
      <c r="I100" s="380"/>
      <c r="J100" s="381">
        <f t="shared" si="15"/>
        <v>107685</v>
      </c>
      <c r="K100" s="383">
        <f t="shared" si="16"/>
        <v>107685</v>
      </c>
      <c r="L100" s="380" t="str">
        <f t="shared" si="17"/>
        <v/>
      </c>
      <c r="M100" s="380" t="str">
        <f t="shared" si="18"/>
        <v/>
      </c>
      <c r="N100" s="121"/>
    </row>
    <row r="101" spans="1:14" s="111" customFormat="1" ht="22.5" customHeight="1">
      <c r="A101" s="103" t="s">
        <v>81</v>
      </c>
      <c r="B101" s="112" t="s">
        <v>290</v>
      </c>
      <c r="C101" s="113" t="s">
        <v>41</v>
      </c>
      <c r="D101" s="373">
        <v>1</v>
      </c>
      <c r="E101" s="377">
        <v>1</v>
      </c>
      <c r="F101" s="380" t="str">
        <f t="shared" si="13"/>
        <v/>
      </c>
      <c r="G101" s="380" t="str">
        <f t="shared" si="14"/>
        <v/>
      </c>
      <c r="H101" s="381">
        <v>49970</v>
      </c>
      <c r="I101" s="380"/>
      <c r="J101" s="381">
        <f t="shared" si="15"/>
        <v>49970</v>
      </c>
      <c r="K101" s="383">
        <f t="shared" si="16"/>
        <v>49970</v>
      </c>
      <c r="L101" s="380" t="str">
        <f t="shared" si="17"/>
        <v/>
      </c>
      <c r="M101" s="380" t="str">
        <f t="shared" si="18"/>
        <v/>
      </c>
      <c r="N101" s="121"/>
    </row>
    <row r="102" spans="1:14" s="111" customFormat="1" ht="22.5" customHeight="1">
      <c r="A102" s="103" t="s">
        <v>82</v>
      </c>
      <c r="B102" s="112" t="s">
        <v>291</v>
      </c>
      <c r="C102" s="113" t="s">
        <v>119</v>
      </c>
      <c r="D102" s="373">
        <v>1</v>
      </c>
      <c r="E102" s="377">
        <v>1</v>
      </c>
      <c r="F102" s="380" t="str">
        <f t="shared" si="13"/>
        <v/>
      </c>
      <c r="G102" s="380" t="str">
        <f t="shared" si="14"/>
        <v/>
      </c>
      <c r="H102" s="381">
        <v>99940</v>
      </c>
      <c r="I102" s="380"/>
      <c r="J102" s="381">
        <f t="shared" si="15"/>
        <v>99940</v>
      </c>
      <c r="K102" s="383">
        <f t="shared" si="16"/>
        <v>99940</v>
      </c>
      <c r="L102" s="380" t="str">
        <f t="shared" si="17"/>
        <v/>
      </c>
      <c r="M102" s="380" t="str">
        <f t="shared" si="18"/>
        <v/>
      </c>
      <c r="N102" s="121"/>
    </row>
    <row r="103" spans="1:14" s="111" customFormat="1" ht="22.5" customHeight="1">
      <c r="A103" s="103" t="s">
        <v>83</v>
      </c>
      <c r="B103" s="112" t="s">
        <v>292</v>
      </c>
      <c r="C103" s="113" t="s">
        <v>119</v>
      </c>
      <c r="D103" s="373">
        <v>1</v>
      </c>
      <c r="E103" s="377">
        <v>1</v>
      </c>
      <c r="F103" s="380" t="str">
        <f t="shared" si="13"/>
        <v/>
      </c>
      <c r="G103" s="380" t="str">
        <f t="shared" si="14"/>
        <v/>
      </c>
      <c r="H103" s="381">
        <v>149910</v>
      </c>
      <c r="I103" s="380"/>
      <c r="J103" s="381">
        <f t="shared" si="15"/>
        <v>149910</v>
      </c>
      <c r="K103" s="383">
        <f t="shared" si="16"/>
        <v>149910</v>
      </c>
      <c r="L103" s="380" t="str">
        <f t="shared" si="17"/>
        <v/>
      </c>
      <c r="M103" s="380" t="str">
        <f t="shared" si="18"/>
        <v/>
      </c>
      <c r="N103" s="121"/>
    </row>
    <row r="104" spans="1:14" s="111" customFormat="1">
      <c r="A104" s="626" t="s">
        <v>84</v>
      </c>
      <c r="B104" s="628" t="s">
        <v>293</v>
      </c>
      <c r="C104" s="630" t="s">
        <v>119</v>
      </c>
      <c r="D104" s="632">
        <v>1</v>
      </c>
      <c r="E104" s="634">
        <v>1</v>
      </c>
      <c r="F104" s="618" t="str">
        <f t="shared" si="13"/>
        <v/>
      </c>
      <c r="G104" s="618" t="str">
        <f t="shared" si="14"/>
        <v/>
      </c>
      <c r="H104" s="382">
        <v>339796</v>
      </c>
      <c r="I104" s="622"/>
      <c r="J104" s="624">
        <f t="shared" si="15"/>
        <v>339796</v>
      </c>
      <c r="K104" s="618">
        <f>E104*H105</f>
        <v>362239</v>
      </c>
      <c r="L104" s="618">
        <f t="shared" si="17"/>
        <v>22443</v>
      </c>
      <c r="M104" s="618" t="str">
        <f t="shared" si="18"/>
        <v/>
      </c>
      <c r="N104" s="620"/>
    </row>
    <row r="105" spans="1:14" s="111" customFormat="1">
      <c r="A105" s="627"/>
      <c r="B105" s="629"/>
      <c r="C105" s="631"/>
      <c r="D105" s="633"/>
      <c r="E105" s="635"/>
      <c r="F105" s="619"/>
      <c r="G105" s="619"/>
      <c r="H105" s="380">
        <f>H104+22443</f>
        <v>362239</v>
      </c>
      <c r="I105" s="623"/>
      <c r="J105" s="625"/>
      <c r="K105" s="619"/>
      <c r="L105" s="619"/>
      <c r="M105" s="619"/>
      <c r="N105" s="621"/>
    </row>
    <row r="106" spans="1:14" s="111" customFormat="1" ht="22.5" customHeight="1">
      <c r="A106" s="103" t="s">
        <v>85</v>
      </c>
      <c r="B106" s="112" t="s">
        <v>294</v>
      </c>
      <c r="C106" s="113" t="s">
        <v>119</v>
      </c>
      <c r="D106" s="373">
        <v>1</v>
      </c>
      <c r="E106" s="377">
        <v>1</v>
      </c>
      <c r="F106" s="380" t="str">
        <f t="shared" si="13"/>
        <v/>
      </c>
      <c r="G106" s="380" t="str">
        <f t="shared" si="14"/>
        <v/>
      </c>
      <c r="H106" s="381">
        <v>19988</v>
      </c>
      <c r="I106" s="380"/>
      <c r="J106" s="381">
        <f t="shared" si="15"/>
        <v>19988</v>
      </c>
      <c r="K106" s="383">
        <f t="shared" si="16"/>
        <v>19988</v>
      </c>
      <c r="L106" s="380" t="str">
        <f t="shared" ref="L106:L113" si="19">IF(K106&gt;J106,K106-J106,"")</f>
        <v/>
      </c>
      <c r="M106" s="380" t="str">
        <f t="shared" ref="M106:M113" si="20">IF(K106&lt;J106,J106-K106,"")</f>
        <v/>
      </c>
      <c r="N106" s="121"/>
    </row>
    <row r="107" spans="1:14" s="111" customFormat="1" ht="22.5" customHeight="1">
      <c r="A107" s="103" t="s">
        <v>86</v>
      </c>
      <c r="B107" s="112" t="s">
        <v>1136</v>
      </c>
      <c r="C107" s="113" t="s">
        <v>119</v>
      </c>
      <c r="D107" s="373">
        <v>1</v>
      </c>
      <c r="E107" s="377">
        <v>1</v>
      </c>
      <c r="F107" s="380" t="str">
        <f t="shared" si="13"/>
        <v/>
      </c>
      <c r="G107" s="380" t="str">
        <f t="shared" si="14"/>
        <v/>
      </c>
      <c r="H107" s="381">
        <v>9994</v>
      </c>
      <c r="I107" s="380"/>
      <c r="J107" s="381">
        <f t="shared" si="15"/>
        <v>9994</v>
      </c>
      <c r="K107" s="383">
        <f t="shared" si="16"/>
        <v>9994</v>
      </c>
      <c r="L107" s="380" t="str">
        <f t="shared" si="19"/>
        <v/>
      </c>
      <c r="M107" s="380" t="str">
        <f t="shared" si="20"/>
        <v/>
      </c>
      <c r="N107" s="121"/>
    </row>
    <row r="108" spans="1:14" s="111" customFormat="1" ht="22.5" customHeight="1">
      <c r="A108" s="103" t="s">
        <v>87</v>
      </c>
      <c r="B108" s="112" t="s">
        <v>295</v>
      </c>
      <c r="C108" s="113" t="s">
        <v>119</v>
      </c>
      <c r="D108" s="373">
        <v>1</v>
      </c>
      <c r="E108" s="377">
        <v>1</v>
      </c>
      <c r="F108" s="380" t="str">
        <f t="shared" si="13"/>
        <v/>
      </c>
      <c r="G108" s="380" t="str">
        <f t="shared" si="14"/>
        <v/>
      </c>
      <c r="H108" s="381">
        <v>149910</v>
      </c>
      <c r="I108" s="380"/>
      <c r="J108" s="381">
        <f t="shared" si="15"/>
        <v>149910</v>
      </c>
      <c r="K108" s="383">
        <f t="shared" si="16"/>
        <v>149910</v>
      </c>
      <c r="L108" s="380" t="str">
        <f t="shared" si="19"/>
        <v/>
      </c>
      <c r="M108" s="380" t="str">
        <f t="shared" si="20"/>
        <v/>
      </c>
      <c r="N108" s="121"/>
    </row>
    <row r="109" spans="1:14" s="111" customFormat="1" ht="22.5" customHeight="1">
      <c r="A109" s="103" t="s">
        <v>88</v>
      </c>
      <c r="B109" s="112" t="s">
        <v>296</v>
      </c>
      <c r="C109" s="113" t="s">
        <v>119</v>
      </c>
      <c r="D109" s="373">
        <v>1</v>
      </c>
      <c r="E109" s="377">
        <v>1</v>
      </c>
      <c r="F109" s="380" t="str">
        <f t="shared" si="13"/>
        <v/>
      </c>
      <c r="G109" s="380" t="str">
        <f t="shared" si="14"/>
        <v/>
      </c>
      <c r="H109" s="381">
        <v>299820</v>
      </c>
      <c r="I109" s="380"/>
      <c r="J109" s="381">
        <f t="shared" si="15"/>
        <v>299820</v>
      </c>
      <c r="K109" s="383">
        <f t="shared" si="16"/>
        <v>299820</v>
      </c>
      <c r="L109" s="380" t="str">
        <f t="shared" si="19"/>
        <v/>
      </c>
      <c r="M109" s="380" t="str">
        <f t="shared" si="20"/>
        <v/>
      </c>
      <c r="N109" s="121"/>
    </row>
    <row r="110" spans="1:14" s="111" customFormat="1" ht="22.5" customHeight="1">
      <c r="A110" s="103" t="s">
        <v>89</v>
      </c>
      <c r="B110" s="112" t="s">
        <v>297</v>
      </c>
      <c r="C110" s="113" t="s">
        <v>119</v>
      </c>
      <c r="D110" s="373">
        <v>1</v>
      </c>
      <c r="E110" s="377">
        <v>1</v>
      </c>
      <c r="F110" s="380" t="str">
        <f t="shared" si="13"/>
        <v/>
      </c>
      <c r="G110" s="380" t="str">
        <f t="shared" si="14"/>
        <v/>
      </c>
      <c r="H110" s="381">
        <v>79952</v>
      </c>
      <c r="I110" s="380"/>
      <c r="J110" s="381">
        <f t="shared" si="15"/>
        <v>79952</v>
      </c>
      <c r="K110" s="383">
        <f t="shared" si="16"/>
        <v>79952</v>
      </c>
      <c r="L110" s="380" t="str">
        <f t="shared" si="19"/>
        <v/>
      </c>
      <c r="M110" s="380" t="str">
        <f t="shared" si="20"/>
        <v/>
      </c>
      <c r="N110" s="121"/>
    </row>
    <row r="111" spans="1:14" s="111" customFormat="1" ht="21.75" customHeight="1">
      <c r="A111" s="103" t="s">
        <v>90</v>
      </c>
      <c r="B111" s="112" t="s">
        <v>298</v>
      </c>
      <c r="C111" s="113" t="s">
        <v>119</v>
      </c>
      <c r="D111" s="373">
        <v>1</v>
      </c>
      <c r="E111" s="377">
        <v>1</v>
      </c>
      <c r="F111" s="380"/>
      <c r="G111" s="380" t="str">
        <f t="shared" si="14"/>
        <v/>
      </c>
      <c r="H111" s="381">
        <v>79952</v>
      </c>
      <c r="I111" s="380"/>
      <c r="J111" s="381">
        <f t="shared" si="15"/>
        <v>79952</v>
      </c>
      <c r="K111" s="383">
        <f t="shared" si="16"/>
        <v>79952</v>
      </c>
      <c r="L111" s="380" t="str">
        <f t="shared" si="19"/>
        <v/>
      </c>
      <c r="M111" s="380" t="str">
        <f t="shared" si="20"/>
        <v/>
      </c>
      <c r="N111" s="121"/>
    </row>
    <row r="112" spans="1:14" s="111" customFormat="1" ht="22.5" customHeight="1">
      <c r="A112" s="214" t="s">
        <v>91</v>
      </c>
      <c r="B112" s="155" t="s">
        <v>1137</v>
      </c>
      <c r="C112" s="116" t="s">
        <v>119</v>
      </c>
      <c r="D112" s="375">
        <v>0</v>
      </c>
      <c r="E112" s="376">
        <v>1</v>
      </c>
      <c r="F112" s="380"/>
      <c r="G112" s="380"/>
      <c r="H112" s="381">
        <v>0</v>
      </c>
      <c r="I112" s="380">
        <v>268435</v>
      </c>
      <c r="J112" s="381">
        <f>ROUND(D112*H112,0)</f>
        <v>0</v>
      </c>
      <c r="K112" s="380">
        <f>ROUND(E112*I112,0)</f>
        <v>268435</v>
      </c>
      <c r="L112" s="380">
        <f t="shared" si="19"/>
        <v>268435</v>
      </c>
      <c r="M112" s="380" t="str">
        <f t="shared" si="20"/>
        <v/>
      </c>
      <c r="N112" s="120"/>
    </row>
    <row r="113" spans="1:14" s="111" customFormat="1" ht="22.5" customHeight="1">
      <c r="A113" s="214" t="s">
        <v>1138</v>
      </c>
      <c r="B113" s="155" t="s">
        <v>700</v>
      </c>
      <c r="C113" s="116" t="s">
        <v>1139</v>
      </c>
      <c r="D113" s="375">
        <v>0</v>
      </c>
      <c r="E113" s="376">
        <v>866</v>
      </c>
      <c r="F113" s="380"/>
      <c r="G113" s="380"/>
      <c r="H113" s="385">
        <v>0</v>
      </c>
      <c r="I113" s="380">
        <f>新增單價分析表!F397</f>
        <v>512</v>
      </c>
      <c r="J113" s="381">
        <f>ROUND(D113*H113,0)</f>
        <v>0</v>
      </c>
      <c r="K113" s="380">
        <f>ROUND(E113*I113,0)</f>
        <v>443392</v>
      </c>
      <c r="L113" s="380">
        <f t="shared" si="19"/>
        <v>443392</v>
      </c>
      <c r="M113" s="380" t="str">
        <f t="shared" si="20"/>
        <v/>
      </c>
      <c r="N113" s="120"/>
    </row>
    <row r="114" spans="1:14" s="111" customFormat="1" ht="22.5" customHeight="1">
      <c r="A114" s="103" t="s">
        <v>1140</v>
      </c>
      <c r="B114" s="112" t="s">
        <v>1134</v>
      </c>
      <c r="C114" s="113"/>
      <c r="D114" s="373"/>
      <c r="E114" s="377"/>
      <c r="F114" s="380"/>
      <c r="G114" s="380"/>
      <c r="H114" s="381" t="s">
        <v>1141</v>
      </c>
      <c r="I114" s="380"/>
      <c r="J114" s="381">
        <f>SUM(J93:J113)</f>
        <v>1713638</v>
      </c>
      <c r="K114" s="380">
        <f t="shared" ref="K114:M114" si="21">SUM(K93:K113)</f>
        <v>2461292</v>
      </c>
      <c r="L114" s="380">
        <f t="shared" si="21"/>
        <v>747654</v>
      </c>
      <c r="M114" s="381">
        <f t="shared" si="21"/>
        <v>0</v>
      </c>
      <c r="N114" s="121"/>
    </row>
    <row r="115" spans="1:14" s="111" customFormat="1" ht="22.5" customHeight="1">
      <c r="A115" s="103" t="s">
        <v>1142</v>
      </c>
      <c r="B115" s="112" t="s">
        <v>1143</v>
      </c>
      <c r="C115" s="113"/>
      <c r="D115" s="373"/>
      <c r="E115" s="377"/>
      <c r="F115" s="380"/>
      <c r="G115" s="380"/>
      <c r="H115" s="381" t="s">
        <v>1144</v>
      </c>
      <c r="I115" s="380"/>
      <c r="J115" s="381"/>
      <c r="K115" s="383"/>
      <c r="L115" s="381"/>
      <c r="M115" s="381"/>
      <c r="N115" s="120"/>
    </row>
    <row r="116" spans="1:14" s="111" customFormat="1" ht="22.5" customHeight="1">
      <c r="A116" s="103" t="s">
        <v>1145</v>
      </c>
      <c r="B116" s="112" t="s">
        <v>1146</v>
      </c>
      <c r="C116" s="114" t="s">
        <v>121</v>
      </c>
      <c r="D116" s="373">
        <v>12</v>
      </c>
      <c r="E116" s="377">
        <v>12</v>
      </c>
      <c r="F116" s="380" t="str">
        <f t="shared" si="13"/>
        <v/>
      </c>
      <c r="G116" s="380" t="str">
        <f t="shared" si="14"/>
        <v/>
      </c>
      <c r="H116" s="381">
        <v>2000</v>
      </c>
      <c r="I116" s="380"/>
      <c r="J116" s="381">
        <f t="shared" ref="J116:J132" si="22">ROUND(D116*H116,0)</f>
        <v>24000</v>
      </c>
      <c r="K116" s="383">
        <f t="shared" ref="K116:K131" si="23">ROUND(E116*H116,0)</f>
        <v>24000</v>
      </c>
      <c r="L116" s="381" t="str">
        <f>IF(K116&gt;J116,K116-J116,"")</f>
        <v/>
      </c>
      <c r="M116" s="381" t="str">
        <f>IF(K116&lt;J116,J116-K116,"")</f>
        <v/>
      </c>
      <c r="N116" s="120"/>
    </row>
    <row r="117" spans="1:14" s="111" customFormat="1" ht="22.5" customHeight="1">
      <c r="A117" s="103" t="s">
        <v>73</v>
      </c>
      <c r="B117" s="112" t="s">
        <v>299</v>
      </c>
      <c r="C117" s="114" t="s">
        <v>119</v>
      </c>
      <c r="D117" s="373">
        <v>1</v>
      </c>
      <c r="E117" s="377">
        <v>1</v>
      </c>
      <c r="F117" s="380" t="str">
        <f t="shared" si="13"/>
        <v/>
      </c>
      <c r="G117" s="380" t="str">
        <f t="shared" si="14"/>
        <v/>
      </c>
      <c r="H117" s="381">
        <v>11953</v>
      </c>
      <c r="I117" s="380"/>
      <c r="J117" s="381">
        <f t="shared" si="22"/>
        <v>11953</v>
      </c>
      <c r="K117" s="383">
        <f t="shared" si="23"/>
        <v>11953</v>
      </c>
      <c r="L117" s="381" t="str">
        <f t="shared" ref="L117:L132" si="24">IF(K117&gt;J117,K117-J117,"")</f>
        <v/>
      </c>
      <c r="M117" s="381" t="str">
        <f t="shared" ref="M117:M132" si="25">IF(K117&lt;J117,J117-K117,"")</f>
        <v/>
      </c>
      <c r="N117" s="120"/>
    </row>
    <row r="118" spans="1:14" s="111" customFormat="1" ht="22.5" customHeight="1">
      <c r="A118" s="103" t="s">
        <v>74</v>
      </c>
      <c r="B118" s="112" t="s">
        <v>300</v>
      </c>
      <c r="C118" s="114" t="s">
        <v>123</v>
      </c>
      <c r="D118" s="373">
        <v>50</v>
      </c>
      <c r="E118" s="377">
        <v>50</v>
      </c>
      <c r="F118" s="380" t="str">
        <f t="shared" si="13"/>
        <v/>
      </c>
      <c r="G118" s="380" t="str">
        <f t="shared" si="14"/>
        <v/>
      </c>
      <c r="H118" s="381">
        <v>1000</v>
      </c>
      <c r="I118" s="380"/>
      <c r="J118" s="381">
        <f t="shared" si="22"/>
        <v>50000</v>
      </c>
      <c r="K118" s="383">
        <f t="shared" si="23"/>
        <v>50000</v>
      </c>
      <c r="L118" s="381" t="str">
        <f t="shared" si="24"/>
        <v/>
      </c>
      <c r="M118" s="381" t="str">
        <f t="shared" si="25"/>
        <v/>
      </c>
      <c r="N118" s="120"/>
    </row>
    <row r="119" spans="1:14" s="111" customFormat="1" ht="22.5" customHeight="1">
      <c r="A119" s="103" t="s">
        <v>76</v>
      </c>
      <c r="B119" s="112" t="s">
        <v>301</v>
      </c>
      <c r="C119" s="114" t="s">
        <v>276</v>
      </c>
      <c r="D119" s="373">
        <v>10</v>
      </c>
      <c r="E119" s="377">
        <v>10</v>
      </c>
      <c r="F119" s="380" t="str">
        <f t="shared" si="13"/>
        <v/>
      </c>
      <c r="G119" s="380" t="str">
        <f t="shared" si="14"/>
        <v/>
      </c>
      <c r="H119" s="381">
        <v>1000</v>
      </c>
      <c r="I119" s="380"/>
      <c r="J119" s="381">
        <f t="shared" si="22"/>
        <v>10000</v>
      </c>
      <c r="K119" s="383">
        <f t="shared" si="23"/>
        <v>10000</v>
      </c>
      <c r="L119" s="381" t="str">
        <f t="shared" si="24"/>
        <v/>
      </c>
      <c r="M119" s="381" t="str">
        <f t="shared" si="25"/>
        <v/>
      </c>
      <c r="N119" s="104"/>
    </row>
    <row r="120" spans="1:14" s="111" customFormat="1" ht="22.5" customHeight="1">
      <c r="A120" s="103" t="s">
        <v>78</v>
      </c>
      <c r="B120" s="112" t="s">
        <v>302</v>
      </c>
      <c r="C120" s="114" t="s">
        <v>276</v>
      </c>
      <c r="D120" s="373">
        <v>50</v>
      </c>
      <c r="E120" s="377">
        <v>50</v>
      </c>
      <c r="F120" s="380" t="str">
        <f t="shared" si="13"/>
        <v/>
      </c>
      <c r="G120" s="380" t="str">
        <f t="shared" si="14"/>
        <v/>
      </c>
      <c r="H120" s="381">
        <v>200</v>
      </c>
      <c r="I120" s="380"/>
      <c r="J120" s="381">
        <f t="shared" si="22"/>
        <v>10000</v>
      </c>
      <c r="K120" s="383">
        <f t="shared" si="23"/>
        <v>10000</v>
      </c>
      <c r="L120" s="381" t="str">
        <f t="shared" si="24"/>
        <v/>
      </c>
      <c r="M120" s="381" t="str">
        <f t="shared" si="25"/>
        <v/>
      </c>
      <c r="N120" s="120"/>
    </row>
    <row r="121" spans="1:14" s="111" customFormat="1" ht="22.5" customHeight="1">
      <c r="A121" s="103" t="s">
        <v>79</v>
      </c>
      <c r="B121" s="112" t="s">
        <v>303</v>
      </c>
      <c r="C121" s="114" t="s">
        <v>119</v>
      </c>
      <c r="D121" s="373">
        <v>1</v>
      </c>
      <c r="E121" s="377">
        <v>1</v>
      </c>
      <c r="F121" s="380" t="str">
        <f t="shared" si="13"/>
        <v/>
      </c>
      <c r="G121" s="380" t="str">
        <f t="shared" si="14"/>
        <v/>
      </c>
      <c r="H121" s="381">
        <v>99930</v>
      </c>
      <c r="I121" s="380"/>
      <c r="J121" s="381">
        <f t="shared" si="22"/>
        <v>99930</v>
      </c>
      <c r="K121" s="383">
        <f t="shared" si="23"/>
        <v>99930</v>
      </c>
      <c r="L121" s="381" t="str">
        <f t="shared" si="24"/>
        <v/>
      </c>
      <c r="M121" s="381" t="str">
        <f t="shared" si="25"/>
        <v/>
      </c>
      <c r="N121" s="120"/>
    </row>
    <row r="122" spans="1:14" s="111" customFormat="1" ht="22.5" customHeight="1">
      <c r="A122" s="103" t="s">
        <v>80</v>
      </c>
      <c r="B122" s="112" t="s">
        <v>304</v>
      </c>
      <c r="C122" s="114" t="s">
        <v>119</v>
      </c>
      <c r="D122" s="373">
        <v>1</v>
      </c>
      <c r="E122" s="377">
        <v>1</v>
      </c>
      <c r="F122" s="380" t="str">
        <f t="shared" si="13"/>
        <v/>
      </c>
      <c r="G122" s="380" t="str">
        <f t="shared" si="14"/>
        <v/>
      </c>
      <c r="H122" s="381">
        <v>39972</v>
      </c>
      <c r="I122" s="380"/>
      <c r="J122" s="381">
        <f t="shared" si="22"/>
        <v>39972</v>
      </c>
      <c r="K122" s="383">
        <f t="shared" si="23"/>
        <v>39972</v>
      </c>
      <c r="L122" s="381" t="str">
        <f t="shared" si="24"/>
        <v/>
      </c>
      <c r="M122" s="381" t="str">
        <f t="shared" si="25"/>
        <v/>
      </c>
      <c r="N122" s="120"/>
    </row>
    <row r="123" spans="1:14" s="111" customFormat="1" ht="22.5" customHeight="1">
      <c r="A123" s="103" t="s">
        <v>81</v>
      </c>
      <c r="B123" s="112" t="s">
        <v>305</v>
      </c>
      <c r="C123" s="114" t="s">
        <v>11</v>
      </c>
      <c r="D123" s="373">
        <v>100</v>
      </c>
      <c r="E123" s="377">
        <v>100</v>
      </c>
      <c r="F123" s="380" t="str">
        <f t="shared" si="13"/>
        <v/>
      </c>
      <c r="G123" s="380" t="str">
        <f t="shared" si="14"/>
        <v/>
      </c>
      <c r="H123" s="381">
        <v>600</v>
      </c>
      <c r="I123" s="380"/>
      <c r="J123" s="381">
        <f t="shared" si="22"/>
        <v>60000</v>
      </c>
      <c r="K123" s="383">
        <f t="shared" si="23"/>
        <v>60000</v>
      </c>
      <c r="L123" s="381" t="str">
        <f t="shared" si="24"/>
        <v/>
      </c>
      <c r="M123" s="381" t="str">
        <f t="shared" si="25"/>
        <v/>
      </c>
      <c r="N123" s="120"/>
    </row>
    <row r="124" spans="1:14" s="111" customFormat="1" ht="33">
      <c r="A124" s="103" t="s">
        <v>82</v>
      </c>
      <c r="B124" s="388" t="s">
        <v>1328</v>
      </c>
      <c r="C124" s="114" t="s">
        <v>11</v>
      </c>
      <c r="D124" s="373">
        <v>383</v>
      </c>
      <c r="E124" s="376">
        <v>343</v>
      </c>
      <c r="F124" s="380" t="str">
        <f t="shared" si="13"/>
        <v/>
      </c>
      <c r="G124" s="380">
        <f t="shared" si="14"/>
        <v>40</v>
      </c>
      <c r="H124" s="381">
        <v>1499</v>
      </c>
      <c r="I124" s="380"/>
      <c r="J124" s="381">
        <f t="shared" si="22"/>
        <v>574117</v>
      </c>
      <c r="K124" s="380">
        <f t="shared" si="23"/>
        <v>514157</v>
      </c>
      <c r="L124" s="381" t="str">
        <f t="shared" si="24"/>
        <v/>
      </c>
      <c r="M124" s="380">
        <f t="shared" si="25"/>
        <v>59960</v>
      </c>
      <c r="N124" s="120"/>
    </row>
    <row r="125" spans="1:14" s="111" customFormat="1" ht="22.5" customHeight="1">
      <c r="A125" s="103" t="s">
        <v>83</v>
      </c>
      <c r="B125" s="112" t="s">
        <v>122</v>
      </c>
      <c r="C125" s="114" t="s">
        <v>109</v>
      </c>
      <c r="D125" s="373">
        <v>1</v>
      </c>
      <c r="E125" s="377">
        <v>1</v>
      </c>
      <c r="F125" s="380"/>
      <c r="G125" s="380" t="str">
        <f t="shared" si="14"/>
        <v/>
      </c>
      <c r="H125" s="381">
        <v>24983</v>
      </c>
      <c r="I125" s="380"/>
      <c r="J125" s="381">
        <f t="shared" si="22"/>
        <v>24983</v>
      </c>
      <c r="K125" s="383">
        <f t="shared" si="23"/>
        <v>24983</v>
      </c>
      <c r="L125" s="381" t="str">
        <f t="shared" si="24"/>
        <v/>
      </c>
      <c r="M125" s="380" t="str">
        <f t="shared" si="25"/>
        <v/>
      </c>
      <c r="N125" s="120"/>
    </row>
    <row r="126" spans="1:14" s="111" customFormat="1" ht="22.5" customHeight="1">
      <c r="A126" s="103" t="s">
        <v>84</v>
      </c>
      <c r="B126" s="112" t="s">
        <v>306</v>
      </c>
      <c r="C126" s="114" t="s">
        <v>109</v>
      </c>
      <c r="D126" s="373">
        <v>2</v>
      </c>
      <c r="E126" s="377">
        <v>2</v>
      </c>
      <c r="F126" s="380" t="str">
        <f t="shared" si="13"/>
        <v/>
      </c>
      <c r="G126" s="380" t="str">
        <f t="shared" si="14"/>
        <v/>
      </c>
      <c r="H126" s="381">
        <v>29979</v>
      </c>
      <c r="I126" s="380"/>
      <c r="J126" s="381">
        <f t="shared" si="22"/>
        <v>59958</v>
      </c>
      <c r="K126" s="383">
        <f t="shared" si="23"/>
        <v>59958</v>
      </c>
      <c r="L126" s="381" t="str">
        <f t="shared" si="24"/>
        <v/>
      </c>
      <c r="M126" s="380" t="str">
        <f t="shared" si="25"/>
        <v/>
      </c>
      <c r="N126" s="120"/>
    </row>
    <row r="127" spans="1:14" s="111" customFormat="1" ht="22.5" customHeight="1">
      <c r="A127" s="103" t="s">
        <v>85</v>
      </c>
      <c r="B127" s="112" t="s">
        <v>1147</v>
      </c>
      <c r="C127" s="114" t="s">
        <v>109</v>
      </c>
      <c r="D127" s="373">
        <v>10</v>
      </c>
      <c r="E127" s="377">
        <v>10</v>
      </c>
      <c r="F127" s="380" t="str">
        <f t="shared" si="13"/>
        <v/>
      </c>
      <c r="G127" s="380" t="str">
        <f t="shared" si="14"/>
        <v/>
      </c>
      <c r="H127" s="381">
        <v>1999</v>
      </c>
      <c r="I127" s="380"/>
      <c r="J127" s="381">
        <f t="shared" si="22"/>
        <v>19990</v>
      </c>
      <c r="K127" s="383">
        <f t="shared" si="23"/>
        <v>19990</v>
      </c>
      <c r="L127" s="381" t="str">
        <f t="shared" si="24"/>
        <v/>
      </c>
      <c r="M127" s="380" t="str">
        <f t="shared" si="25"/>
        <v/>
      </c>
      <c r="N127" s="120"/>
    </row>
    <row r="128" spans="1:14" s="111" customFormat="1" ht="22.5" customHeight="1">
      <c r="A128" s="103" t="s">
        <v>86</v>
      </c>
      <c r="B128" s="112" t="s">
        <v>307</v>
      </c>
      <c r="C128" s="114" t="s">
        <v>109</v>
      </c>
      <c r="D128" s="373">
        <v>30</v>
      </c>
      <c r="E128" s="377">
        <v>30</v>
      </c>
      <c r="F128" s="380" t="str">
        <f t="shared" si="13"/>
        <v/>
      </c>
      <c r="G128" s="380" t="str">
        <f t="shared" si="14"/>
        <v/>
      </c>
      <c r="H128" s="381">
        <v>1498</v>
      </c>
      <c r="I128" s="380"/>
      <c r="J128" s="381">
        <f t="shared" si="22"/>
        <v>44940</v>
      </c>
      <c r="K128" s="383">
        <f t="shared" si="23"/>
        <v>44940</v>
      </c>
      <c r="L128" s="381" t="str">
        <f t="shared" si="24"/>
        <v/>
      </c>
      <c r="M128" s="380" t="str">
        <f t="shared" si="25"/>
        <v/>
      </c>
      <c r="N128" s="120"/>
    </row>
    <row r="129" spans="1:14" s="111" customFormat="1" ht="22.5" customHeight="1">
      <c r="A129" s="103" t="s">
        <v>87</v>
      </c>
      <c r="B129" s="112" t="s">
        <v>308</v>
      </c>
      <c r="C129" s="114" t="s">
        <v>100</v>
      </c>
      <c r="D129" s="373">
        <v>1</v>
      </c>
      <c r="E129" s="377">
        <v>1</v>
      </c>
      <c r="F129" s="380" t="str">
        <f t="shared" si="13"/>
        <v/>
      </c>
      <c r="G129" s="380" t="str">
        <f t="shared" si="14"/>
        <v/>
      </c>
      <c r="H129" s="381">
        <v>7988</v>
      </c>
      <c r="I129" s="380"/>
      <c r="J129" s="381">
        <f t="shared" si="22"/>
        <v>7988</v>
      </c>
      <c r="K129" s="383">
        <f t="shared" si="23"/>
        <v>7988</v>
      </c>
      <c r="L129" s="381" t="str">
        <f t="shared" si="24"/>
        <v/>
      </c>
      <c r="M129" s="380" t="str">
        <f t="shared" si="25"/>
        <v/>
      </c>
      <c r="N129" s="120"/>
    </row>
    <row r="130" spans="1:14" s="111" customFormat="1" ht="22.5" customHeight="1">
      <c r="A130" s="103" t="s">
        <v>88</v>
      </c>
      <c r="B130" s="112" t="s">
        <v>309</v>
      </c>
      <c r="C130" s="114" t="s">
        <v>119</v>
      </c>
      <c r="D130" s="373">
        <v>1</v>
      </c>
      <c r="E130" s="377">
        <v>1</v>
      </c>
      <c r="F130" s="380" t="str">
        <f t="shared" si="13"/>
        <v/>
      </c>
      <c r="G130" s="380" t="str">
        <f t="shared" si="14"/>
        <v/>
      </c>
      <c r="H130" s="381">
        <v>19986</v>
      </c>
      <c r="I130" s="380"/>
      <c r="J130" s="381">
        <f t="shared" si="22"/>
        <v>19986</v>
      </c>
      <c r="K130" s="383">
        <f t="shared" si="23"/>
        <v>19986</v>
      </c>
      <c r="L130" s="381" t="str">
        <f t="shared" si="24"/>
        <v/>
      </c>
      <c r="M130" s="380" t="str">
        <f t="shared" si="25"/>
        <v/>
      </c>
      <c r="N130" s="120"/>
    </row>
    <row r="131" spans="1:14" s="111" customFormat="1" ht="22.5" customHeight="1">
      <c r="A131" s="103" t="s">
        <v>1148</v>
      </c>
      <c r="B131" s="112" t="s">
        <v>1149</v>
      </c>
      <c r="C131" s="114" t="s">
        <v>41</v>
      </c>
      <c r="D131" s="373">
        <v>1</v>
      </c>
      <c r="E131" s="377">
        <v>1</v>
      </c>
      <c r="F131" s="380" t="str">
        <f t="shared" si="13"/>
        <v/>
      </c>
      <c r="G131" s="380" t="str">
        <f t="shared" si="14"/>
        <v/>
      </c>
      <c r="H131" s="381">
        <v>69951</v>
      </c>
      <c r="I131" s="380"/>
      <c r="J131" s="381">
        <f t="shared" si="22"/>
        <v>69951</v>
      </c>
      <c r="K131" s="383">
        <f t="shared" si="23"/>
        <v>69951</v>
      </c>
      <c r="L131" s="381" t="str">
        <f t="shared" si="24"/>
        <v/>
      </c>
      <c r="M131" s="380" t="str">
        <f t="shared" si="25"/>
        <v/>
      </c>
      <c r="N131" s="120"/>
    </row>
    <row r="132" spans="1:14" s="111" customFormat="1" ht="22.5" customHeight="1">
      <c r="A132" s="214" t="s">
        <v>90</v>
      </c>
      <c r="B132" s="155" t="s">
        <v>335</v>
      </c>
      <c r="C132" s="116" t="s">
        <v>11</v>
      </c>
      <c r="D132" s="375">
        <v>0</v>
      </c>
      <c r="E132" s="376">
        <v>40</v>
      </c>
      <c r="F132" s="380">
        <f t="shared" si="13"/>
        <v>40</v>
      </c>
      <c r="G132" s="380" t="str">
        <f t="shared" si="14"/>
        <v/>
      </c>
      <c r="H132" s="381">
        <v>0</v>
      </c>
      <c r="I132" s="380">
        <v>1076</v>
      </c>
      <c r="J132" s="381">
        <f t="shared" si="22"/>
        <v>0</v>
      </c>
      <c r="K132" s="380">
        <f>ROUND(E132*I132,0)</f>
        <v>43040</v>
      </c>
      <c r="L132" s="380">
        <f t="shared" si="24"/>
        <v>43040</v>
      </c>
      <c r="M132" s="380" t="str">
        <f t="shared" si="25"/>
        <v/>
      </c>
      <c r="N132" s="120"/>
    </row>
    <row r="133" spans="1:14" s="111" customFormat="1" ht="22.5" customHeight="1">
      <c r="A133" s="103"/>
      <c r="B133" s="112" t="s">
        <v>1134</v>
      </c>
      <c r="C133" s="113"/>
      <c r="D133" s="373"/>
      <c r="E133" s="377"/>
      <c r="F133" s="380"/>
      <c r="G133" s="380"/>
      <c r="H133" s="381"/>
      <c r="I133" s="380"/>
      <c r="J133" s="381">
        <f>SUM(J116:J132)</f>
        <v>1127768</v>
      </c>
      <c r="K133" s="380">
        <f>SUM(K116:K132)</f>
        <v>1110848</v>
      </c>
      <c r="L133" s="380">
        <f>SUM(L116:L132)</f>
        <v>43040</v>
      </c>
      <c r="M133" s="380">
        <f>SUM(M116:M132)</f>
        <v>59960</v>
      </c>
      <c r="N133" s="121"/>
    </row>
    <row r="134" spans="1:14" s="111" customFormat="1" ht="22.5" customHeight="1">
      <c r="A134" s="103" t="s">
        <v>1150</v>
      </c>
      <c r="B134" s="112" t="s">
        <v>1151</v>
      </c>
      <c r="C134" s="113"/>
      <c r="D134" s="373"/>
      <c r="E134" s="377"/>
      <c r="F134" s="380"/>
      <c r="G134" s="380"/>
      <c r="H134" s="381"/>
      <c r="I134" s="380"/>
      <c r="J134" s="381"/>
      <c r="K134" s="383"/>
      <c r="L134" s="381"/>
      <c r="M134" s="380"/>
      <c r="N134" s="121"/>
    </row>
    <row r="135" spans="1:14" s="111" customFormat="1" ht="22.5" customHeight="1">
      <c r="A135" s="103" t="s">
        <v>71</v>
      </c>
      <c r="B135" s="112" t="s">
        <v>310</v>
      </c>
      <c r="C135" s="114" t="s">
        <v>119</v>
      </c>
      <c r="D135" s="373">
        <v>1</v>
      </c>
      <c r="E135" s="377">
        <v>1</v>
      </c>
      <c r="F135" s="380" t="str">
        <f t="shared" si="13"/>
        <v/>
      </c>
      <c r="G135" s="380" t="str">
        <f t="shared" si="14"/>
        <v/>
      </c>
      <c r="H135" s="381">
        <v>183442</v>
      </c>
      <c r="I135" s="380"/>
      <c r="J135" s="381">
        <f>ROUND(D135*H135,0)</f>
        <v>183442</v>
      </c>
      <c r="K135" s="383">
        <f>E135*H135</f>
        <v>183442</v>
      </c>
      <c r="L135" s="381" t="str">
        <f>IF(K135&gt;J135,K135-J135,"")</f>
        <v/>
      </c>
      <c r="M135" s="380" t="str">
        <f>IF(K135&lt;J135,J135-K135,"")</f>
        <v/>
      </c>
      <c r="N135" s="121"/>
    </row>
    <row r="136" spans="1:14" s="111" customFormat="1" ht="22.5" customHeight="1">
      <c r="A136" s="103" t="s">
        <v>73</v>
      </c>
      <c r="B136" s="112" t="s">
        <v>311</v>
      </c>
      <c r="C136" s="114" t="s">
        <v>75</v>
      </c>
      <c r="D136" s="373">
        <v>6000</v>
      </c>
      <c r="E136" s="377">
        <v>6000</v>
      </c>
      <c r="F136" s="380" t="str">
        <f t="shared" si="13"/>
        <v/>
      </c>
      <c r="G136" s="380" t="str">
        <f t="shared" si="14"/>
        <v/>
      </c>
      <c r="H136" s="381">
        <v>10</v>
      </c>
      <c r="I136" s="380"/>
      <c r="J136" s="381">
        <f>ROUND(D136*H136,0)</f>
        <v>60000</v>
      </c>
      <c r="K136" s="383">
        <f>E136*H136</f>
        <v>60000</v>
      </c>
      <c r="L136" s="380" t="str">
        <f>IF(K136&gt;J136,K136-J136,"")</f>
        <v/>
      </c>
      <c r="M136" s="380" t="str">
        <f>IF(K136&lt;J136,J136-K136,"")</f>
        <v/>
      </c>
      <c r="N136" s="122"/>
    </row>
    <row r="137" spans="1:14" s="111" customFormat="1" ht="22.5" customHeight="1">
      <c r="A137" s="103"/>
      <c r="B137" s="112" t="s">
        <v>1134</v>
      </c>
      <c r="C137" s="113"/>
      <c r="D137" s="373"/>
      <c r="E137" s="377"/>
      <c r="F137" s="380"/>
      <c r="G137" s="380"/>
      <c r="H137" s="381"/>
      <c r="I137" s="380"/>
      <c r="J137" s="381">
        <f>SUM(J135:J136)</f>
        <v>243442</v>
      </c>
      <c r="K137" s="383">
        <f>SUM(K135:K136)</f>
        <v>243442</v>
      </c>
      <c r="L137" s="380">
        <f>SUM(L135:L136)</f>
        <v>0</v>
      </c>
      <c r="M137" s="380">
        <f>SUM(M135:M136)</f>
        <v>0</v>
      </c>
      <c r="N137" s="121"/>
    </row>
    <row r="138" spans="1:14" s="111" customFormat="1" ht="22.5" customHeight="1">
      <c r="A138" s="103" t="s">
        <v>1152</v>
      </c>
      <c r="B138" s="112" t="s">
        <v>1153</v>
      </c>
      <c r="C138" s="113"/>
      <c r="D138" s="373"/>
      <c r="E138" s="377"/>
      <c r="F138" s="380"/>
      <c r="G138" s="380"/>
      <c r="H138" s="381"/>
      <c r="I138" s="380"/>
      <c r="J138" s="381"/>
      <c r="K138" s="381"/>
      <c r="L138" s="381"/>
      <c r="M138" s="381"/>
      <c r="N138" s="121"/>
    </row>
    <row r="139" spans="1:14" s="111" customFormat="1" ht="22.5" customHeight="1">
      <c r="A139" s="103" t="s">
        <v>1145</v>
      </c>
      <c r="B139" s="112" t="s">
        <v>1154</v>
      </c>
      <c r="C139" s="113"/>
      <c r="D139" s="373"/>
      <c r="E139" s="377"/>
      <c r="F139" s="380"/>
      <c r="G139" s="380"/>
      <c r="H139" s="381"/>
      <c r="I139" s="380"/>
      <c r="J139" s="381"/>
      <c r="K139" s="383"/>
      <c r="L139" s="381"/>
      <c r="M139" s="381"/>
      <c r="N139" s="121"/>
    </row>
    <row r="140" spans="1:14" s="111" customFormat="1" ht="33">
      <c r="A140" s="103" t="s">
        <v>1155</v>
      </c>
      <c r="B140" s="389" t="s">
        <v>1329</v>
      </c>
      <c r="C140" s="114" t="s">
        <v>102</v>
      </c>
      <c r="D140" s="373">
        <v>2</v>
      </c>
      <c r="E140" s="376">
        <v>8</v>
      </c>
      <c r="F140" s="380">
        <f t="shared" ref="F140:F177" si="26">IF(E140&gt;D140,E140-D140,"")</f>
        <v>6</v>
      </c>
      <c r="G140" s="380" t="str">
        <f t="shared" ref="G140:G151" si="27">IF(E140&lt;D140,D140-E140,"")</f>
        <v/>
      </c>
      <c r="H140" s="381">
        <v>881</v>
      </c>
      <c r="I140" s="380"/>
      <c r="J140" s="381">
        <f t="shared" ref="J140:J167" si="28">ROUND(D140*H140,0)</f>
        <v>1762</v>
      </c>
      <c r="K140" s="380">
        <f t="shared" ref="K140:K167" si="29">ROUND(E140*H140,0)</f>
        <v>7048</v>
      </c>
      <c r="L140" s="380">
        <f t="shared" ref="L140:L165" si="30">IF(K140&gt;J140,K140-J140,"")</f>
        <v>5286</v>
      </c>
      <c r="M140" s="380" t="str">
        <f t="shared" ref="M140:M165" si="31">IF(K140&lt;J140,J140-K140,"")</f>
        <v/>
      </c>
      <c r="N140" s="121"/>
    </row>
    <row r="141" spans="1:14" s="111" customFormat="1" ht="33">
      <c r="A141" s="103" t="s">
        <v>1156</v>
      </c>
      <c r="B141" s="389" t="s">
        <v>1330</v>
      </c>
      <c r="C141" s="114" t="s">
        <v>102</v>
      </c>
      <c r="D141" s="373">
        <v>2</v>
      </c>
      <c r="E141" s="376">
        <v>8</v>
      </c>
      <c r="F141" s="380">
        <f t="shared" si="26"/>
        <v>6</v>
      </c>
      <c r="G141" s="380" t="str">
        <f t="shared" si="27"/>
        <v/>
      </c>
      <c r="H141" s="381">
        <v>700</v>
      </c>
      <c r="I141" s="380"/>
      <c r="J141" s="381">
        <f t="shared" si="28"/>
        <v>1400</v>
      </c>
      <c r="K141" s="380">
        <f t="shared" si="29"/>
        <v>5600</v>
      </c>
      <c r="L141" s="380">
        <f t="shared" si="30"/>
        <v>4200</v>
      </c>
      <c r="M141" s="380" t="str">
        <f t="shared" si="31"/>
        <v/>
      </c>
      <c r="N141" s="121"/>
    </row>
    <row r="142" spans="1:14" s="111" customFormat="1" ht="33">
      <c r="A142" s="103" t="s">
        <v>1157</v>
      </c>
      <c r="B142" s="389" t="s">
        <v>1331</v>
      </c>
      <c r="C142" s="114" t="s">
        <v>102</v>
      </c>
      <c r="D142" s="373">
        <v>2</v>
      </c>
      <c r="E142" s="376">
        <v>1</v>
      </c>
      <c r="F142" s="380" t="str">
        <f t="shared" si="26"/>
        <v/>
      </c>
      <c r="G142" s="380">
        <f t="shared" si="27"/>
        <v>1</v>
      </c>
      <c r="H142" s="381">
        <v>1349</v>
      </c>
      <c r="I142" s="380"/>
      <c r="J142" s="381">
        <f t="shared" si="28"/>
        <v>2698</v>
      </c>
      <c r="K142" s="380">
        <f t="shared" si="29"/>
        <v>1349</v>
      </c>
      <c r="L142" s="380" t="str">
        <f t="shared" si="30"/>
        <v/>
      </c>
      <c r="M142" s="380">
        <f t="shared" si="31"/>
        <v>1349</v>
      </c>
      <c r="N142" s="121"/>
    </row>
    <row r="143" spans="1:14" s="111" customFormat="1" ht="33">
      <c r="A143" s="103" t="s">
        <v>1158</v>
      </c>
      <c r="B143" s="389" t="s">
        <v>1332</v>
      </c>
      <c r="C143" s="114" t="s">
        <v>102</v>
      </c>
      <c r="D143" s="373">
        <v>2</v>
      </c>
      <c r="E143" s="376">
        <v>1</v>
      </c>
      <c r="F143" s="380" t="str">
        <f t="shared" si="26"/>
        <v/>
      </c>
      <c r="G143" s="380">
        <f t="shared" si="27"/>
        <v>1</v>
      </c>
      <c r="H143" s="381">
        <v>2998</v>
      </c>
      <c r="I143" s="380"/>
      <c r="J143" s="381">
        <f t="shared" si="28"/>
        <v>5996</v>
      </c>
      <c r="K143" s="380">
        <f t="shared" si="29"/>
        <v>2998</v>
      </c>
      <c r="L143" s="380" t="str">
        <f t="shared" si="30"/>
        <v/>
      </c>
      <c r="M143" s="380">
        <f t="shared" si="31"/>
        <v>2998</v>
      </c>
      <c r="N143" s="121"/>
    </row>
    <row r="144" spans="1:14" s="111" customFormat="1" ht="22.5" customHeight="1">
      <c r="A144" s="103" t="s">
        <v>1159</v>
      </c>
      <c r="B144" s="112" t="s">
        <v>1160</v>
      </c>
      <c r="C144" s="114" t="s">
        <v>121</v>
      </c>
      <c r="D144" s="373">
        <v>3</v>
      </c>
      <c r="E144" s="376">
        <v>4</v>
      </c>
      <c r="F144" s="380">
        <f t="shared" si="26"/>
        <v>1</v>
      </c>
      <c r="G144" s="380" t="str">
        <f t="shared" si="27"/>
        <v/>
      </c>
      <c r="H144" s="381">
        <v>200</v>
      </c>
      <c r="I144" s="380"/>
      <c r="J144" s="381">
        <f t="shared" si="28"/>
        <v>600</v>
      </c>
      <c r="K144" s="380">
        <f t="shared" si="29"/>
        <v>800</v>
      </c>
      <c r="L144" s="380">
        <f t="shared" si="30"/>
        <v>200</v>
      </c>
      <c r="M144" s="380" t="str">
        <f t="shared" si="31"/>
        <v/>
      </c>
      <c r="N144" s="121"/>
    </row>
    <row r="145" spans="1:18" s="111" customFormat="1" ht="22.5" customHeight="1">
      <c r="A145" s="103" t="s">
        <v>1161</v>
      </c>
      <c r="B145" s="112" t="s">
        <v>1162</v>
      </c>
      <c r="C145" s="114" t="s">
        <v>121</v>
      </c>
      <c r="D145" s="373">
        <v>3</v>
      </c>
      <c r="E145" s="376">
        <v>4</v>
      </c>
      <c r="F145" s="380">
        <f t="shared" si="26"/>
        <v>1</v>
      </c>
      <c r="G145" s="380" t="str">
        <f t="shared" si="27"/>
        <v/>
      </c>
      <c r="H145" s="381">
        <v>400</v>
      </c>
      <c r="I145" s="380"/>
      <c r="J145" s="381">
        <f t="shared" si="28"/>
        <v>1200</v>
      </c>
      <c r="K145" s="380">
        <f t="shared" si="29"/>
        <v>1600</v>
      </c>
      <c r="L145" s="380">
        <f t="shared" si="30"/>
        <v>400</v>
      </c>
      <c r="M145" s="380" t="str">
        <f t="shared" si="31"/>
        <v/>
      </c>
      <c r="N145" s="121"/>
    </row>
    <row r="146" spans="1:18" s="111" customFormat="1" ht="22.5" customHeight="1">
      <c r="A146" s="103" t="s">
        <v>1163</v>
      </c>
      <c r="B146" s="112" t="s">
        <v>1164</v>
      </c>
      <c r="C146" s="114" t="s">
        <v>121</v>
      </c>
      <c r="D146" s="373">
        <v>5</v>
      </c>
      <c r="E146" s="376">
        <v>4</v>
      </c>
      <c r="F146" s="380" t="str">
        <f t="shared" si="26"/>
        <v/>
      </c>
      <c r="G146" s="380">
        <f t="shared" si="27"/>
        <v>1</v>
      </c>
      <c r="H146" s="381">
        <v>3998</v>
      </c>
      <c r="I146" s="380"/>
      <c r="J146" s="381">
        <f t="shared" si="28"/>
        <v>19990</v>
      </c>
      <c r="K146" s="380">
        <f t="shared" si="29"/>
        <v>15992</v>
      </c>
      <c r="L146" s="380" t="str">
        <f t="shared" si="30"/>
        <v/>
      </c>
      <c r="M146" s="380">
        <f t="shared" si="31"/>
        <v>3998</v>
      </c>
      <c r="N146" s="121"/>
    </row>
    <row r="147" spans="1:18" s="111" customFormat="1" ht="22.5" customHeight="1">
      <c r="A147" s="103" t="s">
        <v>1165</v>
      </c>
      <c r="B147" s="112" t="s">
        <v>1166</v>
      </c>
      <c r="C147" s="114" t="s">
        <v>121</v>
      </c>
      <c r="D147" s="373">
        <v>2</v>
      </c>
      <c r="E147" s="378">
        <v>2</v>
      </c>
      <c r="F147" s="380" t="str">
        <f t="shared" si="26"/>
        <v/>
      </c>
      <c r="G147" s="380" t="str">
        <f t="shared" si="27"/>
        <v/>
      </c>
      <c r="H147" s="381">
        <v>3998</v>
      </c>
      <c r="I147" s="380"/>
      <c r="J147" s="381">
        <f t="shared" si="28"/>
        <v>7996</v>
      </c>
      <c r="K147" s="383">
        <f t="shared" si="29"/>
        <v>7996</v>
      </c>
      <c r="L147" s="380" t="str">
        <f t="shared" si="30"/>
        <v/>
      </c>
      <c r="M147" s="380" t="str">
        <f t="shared" si="31"/>
        <v/>
      </c>
      <c r="N147" s="121"/>
    </row>
    <row r="148" spans="1:18" s="111" customFormat="1" ht="22.5" customHeight="1">
      <c r="A148" s="103" t="s">
        <v>1167</v>
      </c>
      <c r="B148" s="112" t="s">
        <v>1168</v>
      </c>
      <c r="C148" s="114" t="s">
        <v>121</v>
      </c>
      <c r="D148" s="373">
        <v>3</v>
      </c>
      <c r="E148" s="376">
        <v>18</v>
      </c>
      <c r="F148" s="380">
        <f t="shared" si="26"/>
        <v>15</v>
      </c>
      <c r="G148" s="380" t="str">
        <f t="shared" si="27"/>
        <v/>
      </c>
      <c r="H148" s="381">
        <v>800</v>
      </c>
      <c r="I148" s="380"/>
      <c r="J148" s="381">
        <f t="shared" si="28"/>
        <v>2400</v>
      </c>
      <c r="K148" s="380">
        <f t="shared" si="29"/>
        <v>14400</v>
      </c>
      <c r="L148" s="380">
        <f t="shared" si="30"/>
        <v>12000</v>
      </c>
      <c r="M148" s="380" t="str">
        <f t="shared" si="31"/>
        <v/>
      </c>
      <c r="N148" s="121"/>
    </row>
    <row r="149" spans="1:18" s="111" customFormat="1" ht="33">
      <c r="A149" s="103" t="s">
        <v>1169</v>
      </c>
      <c r="B149" s="389" t="s">
        <v>1338</v>
      </c>
      <c r="C149" s="114" t="s">
        <v>121</v>
      </c>
      <c r="D149" s="373">
        <v>3</v>
      </c>
      <c r="E149" s="376">
        <v>1</v>
      </c>
      <c r="F149" s="380" t="str">
        <f t="shared" si="26"/>
        <v/>
      </c>
      <c r="G149" s="380">
        <f t="shared" si="27"/>
        <v>2</v>
      </c>
      <c r="H149" s="381">
        <v>4997</v>
      </c>
      <c r="I149" s="380"/>
      <c r="J149" s="381">
        <f t="shared" si="28"/>
        <v>14991</v>
      </c>
      <c r="K149" s="380">
        <f t="shared" si="29"/>
        <v>4997</v>
      </c>
      <c r="L149" s="380" t="str">
        <f t="shared" si="30"/>
        <v/>
      </c>
      <c r="M149" s="380">
        <f t="shared" si="31"/>
        <v>9994</v>
      </c>
      <c r="N149" s="121"/>
    </row>
    <row r="150" spans="1:18" s="111" customFormat="1" ht="33">
      <c r="A150" s="103" t="s">
        <v>1170</v>
      </c>
      <c r="B150" s="389" t="s">
        <v>1337</v>
      </c>
      <c r="C150" s="114" t="s">
        <v>121</v>
      </c>
      <c r="D150" s="373">
        <v>3</v>
      </c>
      <c r="E150" s="376">
        <v>1</v>
      </c>
      <c r="F150" s="380" t="str">
        <f t="shared" si="26"/>
        <v/>
      </c>
      <c r="G150" s="380">
        <f t="shared" si="27"/>
        <v>2</v>
      </c>
      <c r="H150" s="381">
        <v>3998</v>
      </c>
      <c r="I150" s="380"/>
      <c r="J150" s="381">
        <f t="shared" si="28"/>
        <v>11994</v>
      </c>
      <c r="K150" s="380">
        <f t="shared" si="29"/>
        <v>3998</v>
      </c>
      <c r="L150" s="380" t="str">
        <f t="shared" si="30"/>
        <v/>
      </c>
      <c r="M150" s="380">
        <f t="shared" si="31"/>
        <v>7996</v>
      </c>
      <c r="N150" s="121"/>
    </row>
    <row r="151" spans="1:18" s="111" customFormat="1" ht="22.5" customHeight="1">
      <c r="A151" s="103" t="s">
        <v>1171</v>
      </c>
      <c r="B151" s="112" t="s">
        <v>1172</v>
      </c>
      <c r="C151" s="114" t="s">
        <v>121</v>
      </c>
      <c r="D151" s="373">
        <v>1</v>
      </c>
      <c r="E151" s="377">
        <v>1</v>
      </c>
      <c r="F151" s="380" t="str">
        <f t="shared" si="26"/>
        <v/>
      </c>
      <c r="G151" s="380" t="str">
        <f t="shared" si="27"/>
        <v/>
      </c>
      <c r="H151" s="381">
        <v>999</v>
      </c>
      <c r="I151" s="380"/>
      <c r="J151" s="381">
        <f t="shared" si="28"/>
        <v>999</v>
      </c>
      <c r="K151" s="383">
        <f t="shared" si="29"/>
        <v>999</v>
      </c>
      <c r="L151" s="380" t="str">
        <f t="shared" si="30"/>
        <v/>
      </c>
      <c r="M151" s="380" t="str">
        <f t="shared" si="31"/>
        <v/>
      </c>
      <c r="N151" s="121"/>
    </row>
    <row r="152" spans="1:18" s="111" customFormat="1" ht="33">
      <c r="A152" s="103" t="s">
        <v>1173</v>
      </c>
      <c r="B152" s="389" t="s">
        <v>1335</v>
      </c>
      <c r="C152" s="114" t="s">
        <v>121</v>
      </c>
      <c r="D152" s="373">
        <v>1</v>
      </c>
      <c r="E152" s="376">
        <v>9</v>
      </c>
      <c r="F152" s="380">
        <f t="shared" si="26"/>
        <v>8</v>
      </c>
      <c r="G152" s="380" t="str">
        <f t="shared" si="14"/>
        <v/>
      </c>
      <c r="H152" s="381">
        <v>1499</v>
      </c>
      <c r="I152" s="380"/>
      <c r="J152" s="381">
        <f t="shared" si="28"/>
        <v>1499</v>
      </c>
      <c r="K152" s="380">
        <f t="shared" si="29"/>
        <v>13491</v>
      </c>
      <c r="L152" s="380">
        <f t="shared" si="30"/>
        <v>11992</v>
      </c>
      <c r="M152" s="380" t="str">
        <f t="shared" si="31"/>
        <v/>
      </c>
      <c r="N152" s="121"/>
    </row>
    <row r="153" spans="1:18" s="111" customFormat="1" ht="33">
      <c r="A153" s="103" t="s">
        <v>1174</v>
      </c>
      <c r="B153" s="389" t="s">
        <v>1336</v>
      </c>
      <c r="C153" s="114" t="s">
        <v>121</v>
      </c>
      <c r="D153" s="373">
        <v>1</v>
      </c>
      <c r="E153" s="377">
        <v>1</v>
      </c>
      <c r="F153" s="380" t="str">
        <f t="shared" si="26"/>
        <v/>
      </c>
      <c r="G153" s="380" t="str">
        <f t="shared" si="14"/>
        <v/>
      </c>
      <c r="H153" s="381">
        <v>4997</v>
      </c>
      <c r="I153" s="380"/>
      <c r="J153" s="381">
        <f t="shared" si="28"/>
        <v>4997</v>
      </c>
      <c r="K153" s="383">
        <f t="shared" si="29"/>
        <v>4997</v>
      </c>
      <c r="L153" s="380" t="str">
        <f t="shared" si="30"/>
        <v/>
      </c>
      <c r="M153" s="380" t="str">
        <f t="shared" si="31"/>
        <v/>
      </c>
      <c r="N153" s="121"/>
    </row>
    <row r="154" spans="1:18" s="111" customFormat="1" ht="22.5" customHeight="1">
      <c r="A154" s="103" t="s">
        <v>1175</v>
      </c>
      <c r="B154" s="112" t="s">
        <v>1176</v>
      </c>
      <c r="C154" s="114" t="s">
        <v>121</v>
      </c>
      <c r="D154" s="373">
        <v>1</v>
      </c>
      <c r="E154" s="376">
        <v>2</v>
      </c>
      <c r="F154" s="380">
        <f t="shared" si="26"/>
        <v>1</v>
      </c>
      <c r="G154" s="380" t="str">
        <f t="shared" si="14"/>
        <v/>
      </c>
      <c r="H154" s="381">
        <v>999</v>
      </c>
      <c r="I154" s="380"/>
      <c r="J154" s="381">
        <f t="shared" si="28"/>
        <v>999</v>
      </c>
      <c r="K154" s="380">
        <f t="shared" si="29"/>
        <v>1998</v>
      </c>
      <c r="L154" s="380">
        <f t="shared" si="30"/>
        <v>999</v>
      </c>
      <c r="M154" s="380" t="str">
        <f t="shared" si="31"/>
        <v/>
      </c>
      <c r="N154" s="121"/>
    </row>
    <row r="155" spans="1:18" s="111" customFormat="1" ht="22.5" customHeight="1">
      <c r="A155" s="103" t="s">
        <v>1177</v>
      </c>
      <c r="B155" s="112" t="s">
        <v>1178</v>
      </c>
      <c r="C155" s="114" t="s">
        <v>121</v>
      </c>
      <c r="D155" s="373">
        <v>1</v>
      </c>
      <c r="E155" s="376">
        <v>6</v>
      </c>
      <c r="F155" s="380">
        <f t="shared" si="26"/>
        <v>5</v>
      </c>
      <c r="G155" s="380" t="str">
        <f t="shared" si="14"/>
        <v/>
      </c>
      <c r="H155" s="381">
        <v>2499</v>
      </c>
      <c r="I155" s="380"/>
      <c r="J155" s="381">
        <f t="shared" si="28"/>
        <v>2499</v>
      </c>
      <c r="K155" s="380">
        <f t="shared" si="29"/>
        <v>14994</v>
      </c>
      <c r="L155" s="380">
        <f t="shared" si="30"/>
        <v>12495</v>
      </c>
      <c r="M155" s="380" t="str">
        <f t="shared" si="31"/>
        <v/>
      </c>
      <c r="N155" s="121"/>
    </row>
    <row r="156" spans="1:18" s="111" customFormat="1" ht="33">
      <c r="A156" s="103" t="s">
        <v>1179</v>
      </c>
      <c r="B156" s="389" t="s">
        <v>1339</v>
      </c>
      <c r="C156" s="114" t="s">
        <v>121</v>
      </c>
      <c r="D156" s="373">
        <v>1</v>
      </c>
      <c r="E156" s="377">
        <v>1</v>
      </c>
      <c r="F156" s="380" t="str">
        <f t="shared" si="26"/>
        <v/>
      </c>
      <c r="G156" s="380" t="str">
        <f t="shared" si="14"/>
        <v/>
      </c>
      <c r="H156" s="381">
        <v>1999</v>
      </c>
      <c r="I156" s="380"/>
      <c r="J156" s="381">
        <f>ROUND(D156*H156,0)</f>
        <v>1999</v>
      </c>
      <c r="K156" s="383">
        <f t="shared" si="29"/>
        <v>1999</v>
      </c>
      <c r="L156" s="380" t="str">
        <f t="shared" si="30"/>
        <v/>
      </c>
      <c r="M156" s="380" t="str">
        <f t="shared" si="31"/>
        <v/>
      </c>
      <c r="N156" s="121"/>
    </row>
    <row r="157" spans="1:18" s="111" customFormat="1" ht="33">
      <c r="A157" s="103" t="s">
        <v>1180</v>
      </c>
      <c r="B157" s="389" t="s">
        <v>1333</v>
      </c>
      <c r="C157" s="114" t="s">
        <v>121</v>
      </c>
      <c r="D157" s="373">
        <v>1</v>
      </c>
      <c r="E157" s="376">
        <v>2</v>
      </c>
      <c r="F157" s="380">
        <f t="shared" si="26"/>
        <v>1</v>
      </c>
      <c r="G157" s="380" t="str">
        <f t="shared" si="14"/>
        <v/>
      </c>
      <c r="H157" s="381">
        <v>1499</v>
      </c>
      <c r="I157" s="380"/>
      <c r="J157" s="381">
        <f t="shared" si="28"/>
        <v>1499</v>
      </c>
      <c r="K157" s="380">
        <f t="shared" si="29"/>
        <v>2998</v>
      </c>
      <c r="L157" s="380">
        <f t="shared" si="30"/>
        <v>1499</v>
      </c>
      <c r="M157" s="380" t="str">
        <f t="shared" si="31"/>
        <v/>
      </c>
      <c r="N157" s="121"/>
    </row>
    <row r="158" spans="1:18" s="111" customFormat="1" ht="33">
      <c r="A158" s="103" t="s">
        <v>1181</v>
      </c>
      <c r="B158" s="389" t="s">
        <v>1334</v>
      </c>
      <c r="C158" s="114" t="s">
        <v>121</v>
      </c>
      <c r="D158" s="373">
        <v>1</v>
      </c>
      <c r="E158" s="377">
        <v>1</v>
      </c>
      <c r="F158" s="380" t="str">
        <f t="shared" si="26"/>
        <v/>
      </c>
      <c r="G158" s="380" t="str">
        <f t="shared" si="14"/>
        <v/>
      </c>
      <c r="H158" s="381">
        <v>4997</v>
      </c>
      <c r="I158" s="380"/>
      <c r="J158" s="381">
        <f t="shared" si="28"/>
        <v>4997</v>
      </c>
      <c r="K158" s="383">
        <f>ROUND(E158*H158,0)</f>
        <v>4997</v>
      </c>
      <c r="L158" s="380" t="str">
        <f t="shared" si="30"/>
        <v/>
      </c>
      <c r="M158" s="380" t="str">
        <f t="shared" si="31"/>
        <v/>
      </c>
      <c r="N158" s="121"/>
      <c r="R158" s="160"/>
    </row>
    <row r="159" spans="1:18" s="111" customFormat="1" ht="22.5" customHeight="1">
      <c r="A159" s="103" t="s">
        <v>1182</v>
      </c>
      <c r="B159" s="112" t="s">
        <v>1183</v>
      </c>
      <c r="C159" s="114" t="s">
        <v>121</v>
      </c>
      <c r="D159" s="373">
        <v>1</v>
      </c>
      <c r="E159" s="377">
        <v>1</v>
      </c>
      <c r="F159" s="380" t="str">
        <f t="shared" si="26"/>
        <v/>
      </c>
      <c r="G159" s="380" t="str">
        <f t="shared" si="14"/>
        <v/>
      </c>
      <c r="H159" s="381">
        <v>4997</v>
      </c>
      <c r="I159" s="380"/>
      <c r="J159" s="381">
        <f t="shared" si="28"/>
        <v>4997</v>
      </c>
      <c r="K159" s="383">
        <f t="shared" si="29"/>
        <v>4997</v>
      </c>
      <c r="L159" s="380" t="str">
        <f t="shared" si="30"/>
        <v/>
      </c>
      <c r="M159" s="380" t="str">
        <f t="shared" si="31"/>
        <v/>
      </c>
      <c r="N159" s="121"/>
    </row>
    <row r="160" spans="1:18" s="111" customFormat="1" ht="22.5" customHeight="1">
      <c r="A160" s="103" t="s">
        <v>1184</v>
      </c>
      <c r="B160" s="112" t="s">
        <v>1185</v>
      </c>
      <c r="C160" s="114" t="s">
        <v>121</v>
      </c>
      <c r="D160" s="373">
        <v>1</v>
      </c>
      <c r="E160" s="376">
        <v>3</v>
      </c>
      <c r="F160" s="380">
        <f t="shared" si="26"/>
        <v>2</v>
      </c>
      <c r="G160" s="380" t="str">
        <f t="shared" si="14"/>
        <v/>
      </c>
      <c r="H160" s="381">
        <v>2998</v>
      </c>
      <c r="I160" s="380"/>
      <c r="J160" s="381">
        <f t="shared" si="28"/>
        <v>2998</v>
      </c>
      <c r="K160" s="380">
        <f t="shared" si="29"/>
        <v>8994</v>
      </c>
      <c r="L160" s="380">
        <f t="shared" si="30"/>
        <v>5996</v>
      </c>
      <c r="M160" s="380" t="str">
        <f t="shared" si="31"/>
        <v/>
      </c>
      <c r="N160" s="121"/>
    </row>
    <row r="161" spans="1:20" s="111" customFormat="1" ht="33">
      <c r="A161" s="103" t="s">
        <v>1186</v>
      </c>
      <c r="B161" s="388" t="s">
        <v>1340</v>
      </c>
      <c r="C161" s="116" t="s">
        <v>121</v>
      </c>
      <c r="D161" s="375">
        <v>0</v>
      </c>
      <c r="E161" s="376">
        <v>3</v>
      </c>
      <c r="F161" s="380">
        <f t="shared" si="26"/>
        <v>3</v>
      </c>
      <c r="G161" s="380" t="str">
        <f t="shared" si="14"/>
        <v/>
      </c>
      <c r="H161" s="381">
        <v>0</v>
      </c>
      <c r="I161" s="380">
        <v>2806</v>
      </c>
      <c r="J161" s="381"/>
      <c r="K161" s="380">
        <f>ROUND(E161*I161,0)</f>
        <v>8418</v>
      </c>
      <c r="L161" s="380">
        <f t="shared" si="30"/>
        <v>8418</v>
      </c>
      <c r="M161" s="380" t="str">
        <f t="shared" si="31"/>
        <v/>
      </c>
      <c r="N161" s="121"/>
    </row>
    <row r="162" spans="1:20" s="111" customFormat="1" ht="22.5" customHeight="1">
      <c r="A162" s="103" t="s">
        <v>1187</v>
      </c>
      <c r="B162" s="155" t="s">
        <v>332</v>
      </c>
      <c r="C162" s="116" t="s">
        <v>121</v>
      </c>
      <c r="D162" s="375">
        <v>0</v>
      </c>
      <c r="E162" s="376">
        <v>6</v>
      </c>
      <c r="F162" s="380">
        <f t="shared" si="26"/>
        <v>6</v>
      </c>
      <c r="G162" s="380" t="str">
        <f t="shared" si="14"/>
        <v/>
      </c>
      <c r="H162" s="381">
        <v>0</v>
      </c>
      <c r="I162" s="380">
        <v>3432</v>
      </c>
      <c r="J162" s="381"/>
      <c r="K162" s="380">
        <f t="shared" ref="K162:K164" si="32">ROUND(E162*I162,0)</f>
        <v>20592</v>
      </c>
      <c r="L162" s="380">
        <f t="shared" si="30"/>
        <v>20592</v>
      </c>
      <c r="M162" s="380" t="str">
        <f t="shared" si="31"/>
        <v/>
      </c>
      <c r="N162" s="121"/>
    </row>
    <row r="163" spans="1:20" s="111" customFormat="1" ht="22.5" customHeight="1">
      <c r="A163" s="103" t="s">
        <v>1188</v>
      </c>
      <c r="B163" s="155" t="s">
        <v>333</v>
      </c>
      <c r="C163" s="116" t="s">
        <v>121</v>
      </c>
      <c r="D163" s="375">
        <v>0</v>
      </c>
      <c r="E163" s="376">
        <v>4</v>
      </c>
      <c r="F163" s="380">
        <f t="shared" si="26"/>
        <v>4</v>
      </c>
      <c r="G163" s="380" t="str">
        <f t="shared" si="14"/>
        <v/>
      </c>
      <c r="H163" s="381">
        <v>0</v>
      </c>
      <c r="I163" s="380">
        <v>4414</v>
      </c>
      <c r="J163" s="381"/>
      <c r="K163" s="380">
        <f t="shared" si="32"/>
        <v>17656</v>
      </c>
      <c r="L163" s="380">
        <f t="shared" si="30"/>
        <v>17656</v>
      </c>
      <c r="M163" s="380" t="str">
        <f t="shared" si="31"/>
        <v/>
      </c>
      <c r="N163" s="121"/>
    </row>
    <row r="164" spans="1:20" s="111" customFormat="1" ht="22.5" customHeight="1">
      <c r="A164" s="103" t="s">
        <v>1189</v>
      </c>
      <c r="B164" s="155" t="s">
        <v>334</v>
      </c>
      <c r="C164" s="116" t="s">
        <v>121</v>
      </c>
      <c r="D164" s="375">
        <v>0</v>
      </c>
      <c r="E164" s="376">
        <v>1</v>
      </c>
      <c r="F164" s="380">
        <f t="shared" si="26"/>
        <v>1</v>
      </c>
      <c r="G164" s="380" t="str">
        <f t="shared" si="14"/>
        <v/>
      </c>
      <c r="H164" s="381">
        <v>0</v>
      </c>
      <c r="I164" s="380">
        <v>3238</v>
      </c>
      <c r="J164" s="381"/>
      <c r="K164" s="380">
        <f t="shared" si="32"/>
        <v>3238</v>
      </c>
      <c r="L164" s="380">
        <f t="shared" si="30"/>
        <v>3238</v>
      </c>
      <c r="M164" s="380" t="str">
        <f t="shared" si="31"/>
        <v/>
      </c>
      <c r="N164" s="121"/>
    </row>
    <row r="165" spans="1:20" s="111" customFormat="1" ht="22.5" customHeight="1">
      <c r="A165" s="103" t="s">
        <v>1190</v>
      </c>
      <c r="B165" s="112" t="s">
        <v>1191</v>
      </c>
      <c r="C165" s="113" t="s">
        <v>119</v>
      </c>
      <c r="D165" s="373"/>
      <c r="E165" s="378"/>
      <c r="F165" s="380" t="str">
        <f t="shared" si="26"/>
        <v/>
      </c>
      <c r="G165" s="380" t="str">
        <f t="shared" si="14"/>
        <v/>
      </c>
      <c r="H165" s="381"/>
      <c r="I165" s="380"/>
      <c r="J165" s="381">
        <f t="shared" si="28"/>
        <v>0</v>
      </c>
      <c r="K165" s="383">
        <f t="shared" si="29"/>
        <v>0</v>
      </c>
      <c r="L165" s="381" t="str">
        <f t="shared" si="30"/>
        <v/>
      </c>
      <c r="M165" s="381" t="str">
        <f t="shared" si="31"/>
        <v/>
      </c>
      <c r="N165" s="121"/>
    </row>
    <row r="166" spans="1:20" s="111" customFormat="1" ht="22.5" customHeight="1">
      <c r="A166" s="103">
        <v>1</v>
      </c>
      <c r="B166" s="112" t="s">
        <v>312</v>
      </c>
      <c r="C166" s="114" t="s">
        <v>314</v>
      </c>
      <c r="D166" s="373">
        <v>12</v>
      </c>
      <c r="E166" s="378">
        <v>12</v>
      </c>
      <c r="F166" s="380"/>
      <c r="G166" s="380" t="str">
        <f t="shared" si="14"/>
        <v/>
      </c>
      <c r="H166" s="381">
        <v>34979</v>
      </c>
      <c r="I166" s="380"/>
      <c r="J166" s="381">
        <f t="shared" si="28"/>
        <v>419748</v>
      </c>
      <c r="K166" s="383">
        <f t="shared" si="29"/>
        <v>419748</v>
      </c>
      <c r="L166" s="380" t="str">
        <f>IF(K166&gt;J166,K166-J166,"")</f>
        <v/>
      </c>
      <c r="M166" s="380" t="str">
        <f>IF(K166&lt;J166,J166-K166,"")</f>
        <v/>
      </c>
      <c r="N166" s="121"/>
    </row>
    <row r="167" spans="1:20" s="111" customFormat="1" ht="22.5" customHeight="1">
      <c r="A167" s="103">
        <v>2</v>
      </c>
      <c r="B167" s="112" t="s">
        <v>313</v>
      </c>
      <c r="C167" s="114" t="s">
        <v>314</v>
      </c>
      <c r="D167" s="373">
        <v>12</v>
      </c>
      <c r="E167" s="378">
        <v>12</v>
      </c>
      <c r="F167" s="380"/>
      <c r="G167" s="380"/>
      <c r="H167" s="381">
        <v>3840</v>
      </c>
      <c r="I167" s="380"/>
      <c r="J167" s="381">
        <f t="shared" si="28"/>
        <v>46080</v>
      </c>
      <c r="K167" s="383">
        <f t="shared" si="29"/>
        <v>46080</v>
      </c>
      <c r="L167" s="380"/>
      <c r="M167" s="380" t="str">
        <f>IF(K167&lt;J167,J167-K167,"")</f>
        <v/>
      </c>
      <c r="N167" s="121"/>
    </row>
    <row r="168" spans="1:20" s="111" customFormat="1" ht="22.5" customHeight="1">
      <c r="A168" s="103"/>
      <c r="B168" s="112" t="s">
        <v>1134</v>
      </c>
      <c r="C168" s="113"/>
      <c r="D168" s="373"/>
      <c r="E168" s="377"/>
      <c r="F168" s="380"/>
      <c r="G168" s="380"/>
      <c r="H168" s="381"/>
      <c r="I168" s="380"/>
      <c r="J168" s="381">
        <f>SUM(J140:J167)</f>
        <v>564338</v>
      </c>
      <c r="K168" s="380">
        <f t="shared" ref="K168:M168" si="33">SUM(K140:K167)</f>
        <v>642974</v>
      </c>
      <c r="L168" s="380">
        <f>SUM(L140:L167)</f>
        <v>104971</v>
      </c>
      <c r="M168" s="380">
        <f t="shared" si="33"/>
        <v>26335</v>
      </c>
      <c r="N168" s="121"/>
    </row>
    <row r="169" spans="1:20" s="124" customFormat="1" ht="22.5" customHeight="1">
      <c r="A169" s="103" t="s">
        <v>1192</v>
      </c>
      <c r="B169" s="112" t="s">
        <v>1193</v>
      </c>
      <c r="C169" s="156" t="s">
        <v>119</v>
      </c>
      <c r="D169" s="373">
        <v>1</v>
      </c>
      <c r="E169" s="377">
        <v>1</v>
      </c>
      <c r="F169" s="380" t="str">
        <f t="shared" si="26"/>
        <v/>
      </c>
      <c r="G169" s="380" t="str">
        <f t="shared" si="14"/>
        <v/>
      </c>
      <c r="H169" s="381">
        <v>3476354</v>
      </c>
      <c r="I169" s="380"/>
      <c r="J169" s="381">
        <f>ROUND(D169*H169,0)</f>
        <v>3476354</v>
      </c>
      <c r="K169" s="386">
        <f>ROUND(J169*J182,0)</f>
        <v>3524683</v>
      </c>
      <c r="L169" s="380">
        <f>IF(K169&gt;J169,K169-J169,0)</f>
        <v>48329</v>
      </c>
      <c r="M169" s="380">
        <f>IF(J169&gt;K169,J169-K169,0)</f>
        <v>0</v>
      </c>
      <c r="N169" s="123" t="s">
        <v>1194</v>
      </c>
      <c r="P169" s="125">
        <f>ROUND((M182/J172),2)</f>
        <v>0</v>
      </c>
      <c r="Q169" s="126" t="s">
        <v>1119</v>
      </c>
    </row>
    <row r="170" spans="1:20" s="124" customFormat="1" ht="22.5" customHeight="1">
      <c r="A170" s="103" t="s">
        <v>1195</v>
      </c>
      <c r="B170" s="112" t="s">
        <v>316</v>
      </c>
      <c r="C170" s="156" t="s">
        <v>119</v>
      </c>
      <c r="D170" s="373">
        <v>1</v>
      </c>
      <c r="E170" s="377">
        <v>1</v>
      </c>
      <c r="F170" s="380" t="str">
        <f t="shared" si="26"/>
        <v/>
      </c>
      <c r="G170" s="380" t="str">
        <f t="shared" si="14"/>
        <v/>
      </c>
      <c r="H170" s="381">
        <v>524300</v>
      </c>
      <c r="I170" s="380"/>
      <c r="J170" s="381">
        <f>ROUND(D170*H170,0)</f>
        <v>524300</v>
      </c>
      <c r="K170" s="380">
        <f>J170*J182</f>
        <v>531588.88078979193</v>
      </c>
      <c r="L170" s="380">
        <f>IF(K170&gt;J170,K170-J170,0)</f>
        <v>7288.8807897919323</v>
      </c>
      <c r="M170" s="380">
        <f>IF(J170&gt;K170,J170-K170,0)</f>
        <v>0</v>
      </c>
      <c r="N170" s="120"/>
      <c r="Q170" s="127">
        <f>ROUND((J170*(1+P169)*(1+0)*(1+0)),0)</f>
        <v>524300</v>
      </c>
    </row>
    <row r="171" spans="1:20" s="124" customFormat="1" ht="22.5" customHeight="1">
      <c r="A171" s="103" t="s">
        <v>1196</v>
      </c>
      <c r="B171" s="112" t="s">
        <v>45</v>
      </c>
      <c r="C171" s="156" t="s">
        <v>119</v>
      </c>
      <c r="D171" s="373">
        <v>1</v>
      </c>
      <c r="E171" s="377">
        <v>1</v>
      </c>
      <c r="F171" s="380" t="str">
        <f t="shared" si="26"/>
        <v/>
      </c>
      <c r="G171" s="380" t="str">
        <f t="shared" si="14"/>
        <v/>
      </c>
      <c r="H171" s="381">
        <v>2216571</v>
      </c>
      <c r="I171" s="380"/>
      <c r="J171" s="381">
        <f>ROUND(D171*H171,0)</f>
        <v>2216571</v>
      </c>
      <c r="K171" s="380">
        <f>ROUND((K91+K114+K133+K137+K168+K169+K170)*0.05,0)</f>
        <v>2249127</v>
      </c>
      <c r="L171" s="380">
        <f>IF(K171&gt;J171,K171-J171,0)</f>
        <v>32556</v>
      </c>
      <c r="M171" s="380">
        <f>IF(J171&gt;K171,J171-K171,0)</f>
        <v>0</v>
      </c>
      <c r="N171" s="120"/>
      <c r="P171" s="128"/>
    </row>
    <row r="172" spans="1:20" s="124" customFormat="1" ht="22.5" customHeight="1">
      <c r="A172" s="129"/>
      <c r="B172" s="130" t="s">
        <v>1197</v>
      </c>
      <c r="C172" s="131"/>
      <c r="D172" s="375"/>
      <c r="E172" s="377"/>
      <c r="F172" s="380"/>
      <c r="G172" s="380"/>
      <c r="H172" s="381"/>
      <c r="I172" s="380"/>
      <c r="J172" s="381">
        <f>J91+J114+J133+J137+J168+J169+J170+J171</f>
        <v>46548000</v>
      </c>
      <c r="K172" s="381">
        <f>ROUND(K91+K114+K133+K137+K168+K169+K170+K171,0)</f>
        <v>47231665</v>
      </c>
      <c r="L172" s="381">
        <f>ROUND(L91+L114+L133+L137+L168+L169+L170+L171,0)</f>
        <v>10230331</v>
      </c>
      <c r="M172" s="381">
        <f>M91+M114+M133+M137+M168+M169+M170+M171</f>
        <v>9546666</v>
      </c>
      <c r="N172" s="132" t="s">
        <v>1198</v>
      </c>
      <c r="P172" s="133">
        <f>K172-J172</f>
        <v>683665</v>
      </c>
      <c r="Q172" s="128">
        <f>L172-M172</f>
        <v>683665</v>
      </c>
      <c r="S172" s="128"/>
      <c r="T172" s="128"/>
    </row>
    <row r="173" spans="1:20" s="134" customFormat="1" ht="22.5" customHeight="1">
      <c r="A173" s="136" t="s">
        <v>1199</v>
      </c>
      <c r="B173" s="135" t="s">
        <v>1200</v>
      </c>
      <c r="C173" s="136"/>
      <c r="D173" s="379"/>
      <c r="E173" s="377"/>
      <c r="F173" s="387"/>
      <c r="G173" s="387"/>
      <c r="H173" s="387"/>
      <c r="I173" s="387"/>
      <c r="J173" s="387"/>
      <c r="K173" s="387"/>
      <c r="L173" s="387"/>
      <c r="M173" s="387"/>
      <c r="N173" s="138"/>
      <c r="P173" s="134">
        <f>ROUND((8*2+13*2)/200,2)</f>
        <v>0.21</v>
      </c>
      <c r="Q173" s="139" t="s">
        <v>1201</v>
      </c>
    </row>
    <row r="174" spans="1:20" s="142" customFormat="1" ht="22.5" customHeight="1">
      <c r="A174" s="140" t="s">
        <v>321</v>
      </c>
      <c r="B174" s="213" t="s">
        <v>317</v>
      </c>
      <c r="C174" s="136" t="s">
        <v>1202</v>
      </c>
      <c r="D174" s="379">
        <v>1</v>
      </c>
      <c r="E174" s="377">
        <v>1</v>
      </c>
      <c r="F174" s="387" t="str">
        <f t="shared" si="26"/>
        <v/>
      </c>
      <c r="G174" s="387" t="str">
        <f>IF(E174&lt;D174,D174-E174,"")</f>
        <v/>
      </c>
      <c r="H174" s="387">
        <v>1168615</v>
      </c>
      <c r="I174" s="387"/>
      <c r="J174" s="387">
        <f>ROUND(D174*H174,0)</f>
        <v>1168615</v>
      </c>
      <c r="K174" s="387">
        <f>ROUND((760500+(K172-K171-K170-25000000)*2.17%),0)</f>
        <v>1182586</v>
      </c>
      <c r="L174" s="387">
        <f>IF(K174&gt;J174,K174-J174,0)</f>
        <v>13971</v>
      </c>
      <c r="M174" s="387" t="str">
        <f>IF(K174&lt;J174,J174-K174,"")</f>
        <v/>
      </c>
      <c r="N174" s="141"/>
    </row>
    <row r="175" spans="1:20" s="142" customFormat="1" ht="22.5" customHeight="1">
      <c r="A175" s="140" t="s">
        <v>322</v>
      </c>
      <c r="B175" s="213" t="s">
        <v>318</v>
      </c>
      <c r="C175" s="136" t="s">
        <v>1202</v>
      </c>
      <c r="D175" s="379">
        <v>1</v>
      </c>
      <c r="E175" s="377">
        <v>1</v>
      </c>
      <c r="F175" s="387"/>
      <c r="G175" s="387" t="str">
        <f t="shared" ref="G175:G177" si="34">IF(E175&lt;D175,D175-E175,"")</f>
        <v/>
      </c>
      <c r="H175" s="387">
        <v>124128</v>
      </c>
      <c r="I175" s="387"/>
      <c r="J175" s="387">
        <f>ROUND(D175*H175,0)</f>
        <v>124128</v>
      </c>
      <c r="K175" s="387">
        <f>ROUND((332879+62*1.43*12+(K172-J172)*0.0028),0)</f>
        <v>335857</v>
      </c>
      <c r="L175" s="387">
        <f t="shared" ref="L175:L177" si="35">IF(K175&gt;J175,K175-J175,0)</f>
        <v>211729</v>
      </c>
      <c r="M175" s="387" t="str">
        <f t="shared" ref="M175:M177" si="36">IF(K175&lt;J175,J175-K175,"")</f>
        <v/>
      </c>
      <c r="N175" s="141"/>
    </row>
    <row r="176" spans="1:20" s="142" customFormat="1" ht="22.5" customHeight="1">
      <c r="A176" s="140" t="s">
        <v>323</v>
      </c>
      <c r="B176" s="213" t="s">
        <v>319</v>
      </c>
      <c r="C176" s="136" t="s">
        <v>1202</v>
      </c>
      <c r="D176" s="379">
        <v>1</v>
      </c>
      <c r="E176" s="377">
        <v>1</v>
      </c>
      <c r="F176" s="387" t="str">
        <f t="shared" si="26"/>
        <v/>
      </c>
      <c r="G176" s="387" t="str">
        <f t="shared" si="34"/>
        <v/>
      </c>
      <c r="H176" s="387">
        <v>100000</v>
      </c>
      <c r="I176" s="387"/>
      <c r="J176" s="387">
        <f>ROUND(D176*H176,0)</f>
        <v>100000</v>
      </c>
      <c r="K176" s="387">
        <v>100000</v>
      </c>
      <c r="L176" s="387">
        <f t="shared" si="35"/>
        <v>0</v>
      </c>
      <c r="M176" s="387" t="str">
        <f t="shared" si="36"/>
        <v/>
      </c>
      <c r="N176" s="141"/>
      <c r="P176" s="143"/>
    </row>
    <row r="177" spans="1:17" s="142" customFormat="1" ht="22.5" customHeight="1">
      <c r="A177" s="212" t="s">
        <v>324</v>
      </c>
      <c r="B177" s="213" t="s">
        <v>320</v>
      </c>
      <c r="C177" s="136" t="s">
        <v>1202</v>
      </c>
      <c r="D177" s="379">
        <v>1</v>
      </c>
      <c r="E177" s="373">
        <v>1</v>
      </c>
      <c r="F177" s="387" t="str">
        <f t="shared" si="26"/>
        <v/>
      </c>
      <c r="G177" s="387" t="str">
        <f t="shared" si="34"/>
        <v/>
      </c>
      <c r="H177" s="387">
        <v>15000</v>
      </c>
      <c r="I177" s="387"/>
      <c r="J177" s="387">
        <f>ROUND(D177*H177,0)</f>
        <v>15000</v>
      </c>
      <c r="K177" s="387">
        <v>15000</v>
      </c>
      <c r="L177" s="387">
        <f t="shared" si="35"/>
        <v>0</v>
      </c>
      <c r="M177" s="387" t="str">
        <f t="shared" si="36"/>
        <v/>
      </c>
      <c r="N177" s="141"/>
      <c r="P177" s="145"/>
    </row>
    <row r="178" spans="1:17" s="142" customFormat="1" ht="22.5" customHeight="1">
      <c r="A178" s="144"/>
      <c r="B178" s="146" t="s">
        <v>127</v>
      </c>
      <c r="C178" s="147"/>
      <c r="D178" s="379"/>
      <c r="E178" s="373"/>
      <c r="F178" s="387"/>
      <c r="G178" s="387"/>
      <c r="H178" s="387"/>
      <c r="I178" s="387"/>
      <c r="J178" s="387">
        <f>SUM(J172:J177)</f>
        <v>47955743</v>
      </c>
      <c r="K178" s="387">
        <f>SUM(K172:K177)</f>
        <v>48865108</v>
      </c>
      <c r="L178" s="387">
        <f>SUM(L172:L177)</f>
        <v>10456031</v>
      </c>
      <c r="M178" s="387">
        <f>SUM(M172:M177)</f>
        <v>9546666</v>
      </c>
      <c r="N178" s="141"/>
      <c r="P178" s="148">
        <f>K178-J178</f>
        <v>909365</v>
      </c>
      <c r="Q178" s="148">
        <f>L178-M178</f>
        <v>909365</v>
      </c>
    </row>
    <row r="179" spans="1:17" s="111" customFormat="1" ht="14.25">
      <c r="D179" s="149"/>
      <c r="E179" s="150"/>
      <c r="F179" s="149"/>
      <c r="G179" s="149"/>
      <c r="H179" s="149"/>
      <c r="I179" s="149"/>
      <c r="J179" s="149"/>
      <c r="K179" s="150"/>
      <c r="L179" s="149"/>
      <c r="M179" s="149"/>
    </row>
    <row r="180" spans="1:17" s="111" customFormat="1" ht="14.25">
      <c r="D180" s="149"/>
      <c r="E180" s="150"/>
      <c r="F180" s="149"/>
      <c r="G180" s="149"/>
      <c r="H180" s="149"/>
      <c r="I180" s="149"/>
      <c r="J180" s="149" t="s">
        <v>1203</v>
      </c>
      <c r="K180" s="150" t="s">
        <v>1204</v>
      </c>
      <c r="L180" s="149"/>
      <c r="M180" s="149"/>
    </row>
    <row r="181" spans="1:17" s="111" customFormat="1" ht="14.25">
      <c r="D181" s="149"/>
      <c r="E181" s="150"/>
      <c r="F181" s="149"/>
      <c r="G181" s="149"/>
      <c r="H181" s="149"/>
      <c r="I181" s="149"/>
      <c r="J181" s="149">
        <f>J91+J114</f>
        <v>38395227</v>
      </c>
      <c r="K181" s="149">
        <f>K91+K114</f>
        <v>38929002</v>
      </c>
      <c r="L181" s="149"/>
      <c r="M181" s="149"/>
    </row>
    <row r="182" spans="1:17" s="111" customFormat="1" ht="14.25">
      <c r="D182" s="149"/>
      <c r="E182" s="150"/>
      <c r="F182" s="149"/>
      <c r="G182" s="149"/>
      <c r="H182" s="149" t="s">
        <v>1205</v>
      </c>
      <c r="I182" s="149"/>
      <c r="J182" s="308">
        <f>K181/J181</f>
        <v>1.0139021186148998</v>
      </c>
      <c r="K182" s="150"/>
      <c r="L182" s="149"/>
      <c r="M182" s="151">
        <f>ROUND(L91+L168+L169-M91,0)</f>
        <v>-60579</v>
      </c>
      <c r="N182" s="118" t="s">
        <v>1206</v>
      </c>
    </row>
    <row r="183" spans="1:17" s="111" customFormat="1" ht="14.25">
      <c r="D183" s="149"/>
      <c r="E183" s="150"/>
      <c r="F183" s="149"/>
      <c r="G183" s="149"/>
      <c r="H183" s="149"/>
      <c r="I183" s="149"/>
      <c r="J183" s="149"/>
      <c r="K183" s="150"/>
      <c r="L183" s="149"/>
      <c r="M183" s="149"/>
    </row>
    <row r="184" spans="1:17" s="111" customFormat="1" ht="14.25">
      <c r="D184" s="149"/>
      <c r="E184" s="150"/>
      <c r="F184" s="149"/>
      <c r="G184" s="149"/>
      <c r="H184" s="149"/>
      <c r="I184" s="149"/>
      <c r="J184" s="149"/>
      <c r="K184" s="150"/>
      <c r="L184" s="149"/>
      <c r="M184" s="149"/>
    </row>
    <row r="185" spans="1:17" s="111" customFormat="1" ht="14.25">
      <c r="D185" s="149"/>
      <c r="E185" s="150"/>
      <c r="F185" s="149"/>
      <c r="G185" s="149"/>
      <c r="H185" s="149"/>
      <c r="I185" s="149"/>
      <c r="J185" s="149"/>
      <c r="K185" s="150"/>
      <c r="L185" s="149"/>
      <c r="M185" s="149"/>
    </row>
    <row r="186" spans="1:17" s="111" customFormat="1" ht="14.25">
      <c r="D186" s="149"/>
      <c r="E186" s="150"/>
      <c r="F186" s="149"/>
      <c r="G186" s="149"/>
      <c r="H186" s="149"/>
      <c r="I186" s="149"/>
      <c r="J186" s="149"/>
      <c r="K186" s="150"/>
      <c r="L186" s="149"/>
      <c r="M186" s="149"/>
    </row>
    <row r="187" spans="1:17">
      <c r="J187" s="137"/>
    </row>
  </sheetData>
  <mergeCells count="133">
    <mergeCell ref="I18:I19"/>
    <mergeCell ref="J18:J19"/>
    <mergeCell ref="K18:K19"/>
    <mergeCell ref="A18:A19"/>
    <mergeCell ref="B18:B19"/>
    <mergeCell ref="C18:C19"/>
    <mergeCell ref="D18:D19"/>
    <mergeCell ref="E18:E19"/>
    <mergeCell ref="A1:N1"/>
    <mergeCell ref="A2:N2"/>
    <mergeCell ref="J3:K3"/>
    <mergeCell ref="L3:N3"/>
    <mergeCell ref="A4:A5"/>
    <mergeCell ref="B4:B5"/>
    <mergeCell ref="C4:C5"/>
    <mergeCell ref="D4:D5"/>
    <mergeCell ref="E4:E5"/>
    <mergeCell ref="F4:G4"/>
    <mergeCell ref="H4:H5"/>
    <mergeCell ref="J4:J5"/>
    <mergeCell ref="K4:K5"/>
    <mergeCell ref="L4:M4"/>
    <mergeCell ref="N4:N5"/>
    <mergeCell ref="I4:I5"/>
    <mergeCell ref="K23:K24"/>
    <mergeCell ref="A23:A24"/>
    <mergeCell ref="B23:B24"/>
    <mergeCell ref="C23:C24"/>
    <mergeCell ref="D23:D24"/>
    <mergeCell ref="E23:E24"/>
    <mergeCell ref="L18:L19"/>
    <mergeCell ref="M18:M19"/>
    <mergeCell ref="N18:N19"/>
    <mergeCell ref="A21:A22"/>
    <mergeCell ref="B21:B22"/>
    <mergeCell ref="C21:C22"/>
    <mergeCell ref="D21:D22"/>
    <mergeCell ref="E21:E22"/>
    <mergeCell ref="F21:F22"/>
    <mergeCell ref="G21:G22"/>
    <mergeCell ref="I21:I22"/>
    <mergeCell ref="J21:J22"/>
    <mergeCell ref="K21:K22"/>
    <mergeCell ref="L21:L22"/>
    <mergeCell ref="M21:M22"/>
    <mergeCell ref="N21:N22"/>
    <mergeCell ref="F18:F19"/>
    <mergeCell ref="G18:G19"/>
    <mergeCell ref="B41:B42"/>
    <mergeCell ref="C41:C42"/>
    <mergeCell ref="D41:D42"/>
    <mergeCell ref="E41:E42"/>
    <mergeCell ref="L23:L24"/>
    <mergeCell ref="M23:M24"/>
    <mergeCell ref="N23:N24"/>
    <mergeCell ref="A28:A29"/>
    <mergeCell ref="B28:B29"/>
    <mergeCell ref="C28:C29"/>
    <mergeCell ref="D28:D29"/>
    <mergeCell ref="E28:E29"/>
    <mergeCell ref="F28:F29"/>
    <mergeCell ref="G28:G29"/>
    <mergeCell ref="I28:I29"/>
    <mergeCell ref="J28:J29"/>
    <mergeCell ref="K28:K29"/>
    <mergeCell ref="L28:L29"/>
    <mergeCell ref="M28:M29"/>
    <mergeCell ref="N28:N29"/>
    <mergeCell ref="F23:F24"/>
    <mergeCell ref="G23:G24"/>
    <mergeCell ref="I23:I24"/>
    <mergeCell ref="J23:J24"/>
    <mergeCell ref="D56:D57"/>
    <mergeCell ref="E56:E57"/>
    <mergeCell ref="L41:L42"/>
    <mergeCell ref="M41:M42"/>
    <mergeCell ref="N41:N42"/>
    <mergeCell ref="A54:A55"/>
    <mergeCell ref="B54:B55"/>
    <mergeCell ref="C54:C55"/>
    <mergeCell ref="D54:D55"/>
    <mergeCell ref="E54:E55"/>
    <mergeCell ref="F54:F55"/>
    <mergeCell ref="G54:G55"/>
    <mergeCell ref="I54:I55"/>
    <mergeCell ref="J54:J55"/>
    <mergeCell ref="K54:K55"/>
    <mergeCell ref="L54:L55"/>
    <mergeCell ref="M54:M55"/>
    <mergeCell ref="N54:N55"/>
    <mergeCell ref="F41:F42"/>
    <mergeCell ref="G41:G42"/>
    <mergeCell ref="I41:I42"/>
    <mergeCell ref="J41:J42"/>
    <mergeCell ref="K41:K42"/>
    <mergeCell ref="A41:A42"/>
    <mergeCell ref="L56:L57"/>
    <mergeCell ref="M56:M57"/>
    <mergeCell ref="N56:N57"/>
    <mergeCell ref="A97:A98"/>
    <mergeCell ref="B97:B98"/>
    <mergeCell ref="C97:C98"/>
    <mergeCell ref="D97:D98"/>
    <mergeCell ref="E97:E98"/>
    <mergeCell ref="F97:F98"/>
    <mergeCell ref="G97:G98"/>
    <mergeCell ref="I97:I98"/>
    <mergeCell ref="J97:J98"/>
    <mergeCell ref="K97:K98"/>
    <mergeCell ref="L97:L98"/>
    <mergeCell ref="M97:M98"/>
    <mergeCell ref="N97:N98"/>
    <mergeCell ref="F56:F57"/>
    <mergeCell ref="G56:G57"/>
    <mergeCell ref="I56:I57"/>
    <mergeCell ref="J56:J57"/>
    <mergeCell ref="K56:K57"/>
    <mergeCell ref="A56:A57"/>
    <mergeCell ref="B56:B57"/>
    <mergeCell ref="C56:C57"/>
    <mergeCell ref="L104:L105"/>
    <mergeCell ref="M104:M105"/>
    <mergeCell ref="N104:N105"/>
    <mergeCell ref="F104:F105"/>
    <mergeCell ref="G104:G105"/>
    <mergeCell ref="I104:I105"/>
    <mergeCell ref="J104:J105"/>
    <mergeCell ref="K104:K105"/>
    <mergeCell ref="A104:A105"/>
    <mergeCell ref="B104:B105"/>
    <mergeCell ref="C104:C105"/>
    <mergeCell ref="D104:D105"/>
    <mergeCell ref="E104:E105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59" fitToHeight="0" orientation="landscape" r:id="rId1"/>
  <headerFooter>
    <oddFooter>&amp;L&amp;"標楷體,標準"&amp;11編製                  校核</oddFooter>
  </headerFooter>
  <rowBreaks count="4" manualBreakCount="4">
    <brk id="42" max="13" man="1"/>
    <brk id="78" max="13" man="1"/>
    <brk id="114" max="13" man="1"/>
    <brk id="146" max="1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7"/>
  <sheetViews>
    <sheetView view="pageBreakPreview" topLeftCell="A127" zoomScale="145" zoomScaleNormal="115" zoomScaleSheetLayoutView="145" workbookViewId="0">
      <selection activeCell="E131" sqref="E131"/>
    </sheetView>
  </sheetViews>
  <sheetFormatPr defaultRowHeight="16.5"/>
  <cols>
    <col min="1" max="1" width="8.125" customWidth="1"/>
    <col min="2" max="2" width="28.5" customWidth="1"/>
    <col min="7" max="7" width="12.25" customWidth="1"/>
  </cols>
  <sheetData>
    <row r="1" spans="1:8" ht="18.75" customHeight="1">
      <c r="A1" s="680" t="s">
        <v>1359</v>
      </c>
      <c r="B1" s="680"/>
      <c r="C1" s="680"/>
      <c r="D1" s="680"/>
      <c r="E1" s="680"/>
      <c r="F1" s="680"/>
      <c r="G1" s="680"/>
      <c r="H1" s="680"/>
    </row>
    <row r="2" spans="1:8" ht="18" customHeight="1">
      <c r="A2" s="680" t="s">
        <v>556</v>
      </c>
      <c r="B2" s="680"/>
      <c r="C2" s="680"/>
      <c r="D2" s="680"/>
      <c r="E2" s="680"/>
      <c r="F2" s="680"/>
      <c r="G2" s="680"/>
      <c r="H2" s="680"/>
    </row>
    <row r="3" spans="1:8" ht="13.5" customHeight="1">
      <c r="A3" s="679" t="s">
        <v>325</v>
      </c>
      <c r="B3" s="679"/>
      <c r="C3" s="679"/>
      <c r="D3" s="679"/>
      <c r="E3" s="679"/>
      <c r="F3" s="679"/>
      <c r="G3" s="679"/>
      <c r="H3" s="679"/>
    </row>
    <row r="4" spans="1:8" ht="12.75" customHeight="1">
      <c r="A4" s="391" t="s">
        <v>547</v>
      </c>
      <c r="B4" s="676"/>
      <c r="C4" s="676"/>
      <c r="D4" s="676"/>
      <c r="E4" s="676"/>
      <c r="F4" s="676"/>
      <c r="G4" s="676"/>
    </row>
    <row r="5" spans="1:8" ht="16.5" customHeight="1">
      <c r="A5" s="270" t="s">
        <v>721</v>
      </c>
      <c r="B5" s="662" t="s">
        <v>722</v>
      </c>
      <c r="C5" s="663"/>
      <c r="D5" s="664" t="s">
        <v>618</v>
      </c>
      <c r="E5" s="665"/>
      <c r="F5" s="666"/>
      <c r="G5" s="667"/>
    </row>
    <row r="6" spans="1:8" ht="21" customHeight="1">
      <c r="A6" s="390"/>
      <c r="B6" s="392" t="s">
        <v>548</v>
      </c>
      <c r="C6" s="392" t="s">
        <v>0</v>
      </c>
      <c r="D6" s="392" t="s">
        <v>549</v>
      </c>
      <c r="E6" s="392" t="s">
        <v>220</v>
      </c>
      <c r="F6" s="392" t="s">
        <v>550</v>
      </c>
      <c r="G6" s="392" t="s">
        <v>551</v>
      </c>
    </row>
    <row r="7" spans="1:8">
      <c r="A7" s="390"/>
      <c r="B7" s="321" t="s">
        <v>77</v>
      </c>
      <c r="C7" s="322" t="s">
        <v>72</v>
      </c>
      <c r="D7" s="323">
        <v>0.15</v>
      </c>
      <c r="E7" s="324">
        <v>2299</v>
      </c>
      <c r="F7" s="430">
        <v>345</v>
      </c>
      <c r="G7" s="393" t="s">
        <v>568</v>
      </c>
    </row>
    <row r="8" spans="1:8">
      <c r="A8" s="390"/>
      <c r="B8" s="321" t="s">
        <v>729</v>
      </c>
      <c r="C8" s="322" t="s">
        <v>75</v>
      </c>
      <c r="D8" s="323">
        <v>1</v>
      </c>
      <c r="E8" s="324">
        <v>355</v>
      </c>
      <c r="F8" s="325">
        <f t="shared" ref="F8:F16" si="0">D8*E8</f>
        <v>355</v>
      </c>
      <c r="G8" s="393" t="s">
        <v>568</v>
      </c>
    </row>
    <row r="9" spans="1:8">
      <c r="A9" s="390"/>
      <c r="B9" s="321" t="s">
        <v>724</v>
      </c>
      <c r="C9" s="322" t="s">
        <v>72</v>
      </c>
      <c r="D9" s="327">
        <v>0.15</v>
      </c>
      <c r="E9" s="324">
        <v>750</v>
      </c>
      <c r="F9" s="325">
        <f t="shared" si="0"/>
        <v>112.5</v>
      </c>
      <c r="G9" s="393" t="s">
        <v>568</v>
      </c>
    </row>
    <row r="10" spans="1:8">
      <c r="A10" s="390"/>
      <c r="B10" s="394" t="s">
        <v>730</v>
      </c>
      <c r="C10" s="322" t="s">
        <v>75</v>
      </c>
      <c r="D10" s="323">
        <v>1</v>
      </c>
      <c r="E10" s="324">
        <v>170</v>
      </c>
      <c r="F10" s="325">
        <f t="shared" si="0"/>
        <v>170</v>
      </c>
      <c r="G10" s="393" t="s">
        <v>568</v>
      </c>
    </row>
    <row r="11" spans="1:8">
      <c r="A11" s="390"/>
      <c r="B11" s="321" t="s">
        <v>571</v>
      </c>
      <c r="C11" s="322" t="s">
        <v>119</v>
      </c>
      <c r="D11" s="323">
        <v>1</v>
      </c>
      <c r="E11" s="324">
        <v>95</v>
      </c>
      <c r="F11" s="325">
        <f t="shared" si="0"/>
        <v>95</v>
      </c>
      <c r="G11" s="393" t="s">
        <v>568</v>
      </c>
    </row>
    <row r="12" spans="1:8">
      <c r="A12" s="390"/>
      <c r="B12" s="326" t="s">
        <v>1001</v>
      </c>
      <c r="C12" s="322" t="s">
        <v>732</v>
      </c>
      <c r="D12" s="327">
        <v>0.01</v>
      </c>
      <c r="E12" s="328">
        <v>899</v>
      </c>
      <c r="F12" s="395">
        <f t="shared" si="0"/>
        <v>8.99</v>
      </c>
      <c r="G12" s="393" t="s">
        <v>568</v>
      </c>
    </row>
    <row r="13" spans="1:8">
      <c r="A13" s="390"/>
      <c r="B13" s="326" t="s">
        <v>741</v>
      </c>
      <c r="C13" s="322" t="s">
        <v>732</v>
      </c>
      <c r="D13" s="327">
        <v>8.9999999999999993E-3</v>
      </c>
      <c r="E13" s="328">
        <f>500</f>
        <v>500</v>
      </c>
      <c r="F13" s="395">
        <f t="shared" si="0"/>
        <v>4.5</v>
      </c>
      <c r="G13" s="393" t="s">
        <v>568</v>
      </c>
    </row>
    <row r="14" spans="1:8">
      <c r="A14" s="390"/>
      <c r="B14" s="326" t="s">
        <v>1000</v>
      </c>
      <c r="C14" s="322" t="s">
        <v>732</v>
      </c>
      <c r="D14" s="327">
        <v>8.9999999999999993E-3</v>
      </c>
      <c r="E14" s="328">
        <f>400</f>
        <v>400</v>
      </c>
      <c r="F14" s="395">
        <f t="shared" si="0"/>
        <v>3.5999999999999996</v>
      </c>
      <c r="G14" s="393" t="s">
        <v>568</v>
      </c>
    </row>
    <row r="15" spans="1:8">
      <c r="A15" s="390"/>
      <c r="B15" s="321" t="s">
        <v>731</v>
      </c>
      <c r="C15" s="322" t="s">
        <v>732</v>
      </c>
      <c r="D15" s="323">
        <v>1</v>
      </c>
      <c r="E15" s="324">
        <v>20</v>
      </c>
      <c r="F15" s="325">
        <f t="shared" si="0"/>
        <v>20</v>
      </c>
      <c r="G15" s="393" t="s">
        <v>568</v>
      </c>
    </row>
    <row r="16" spans="1:8">
      <c r="A16" s="390"/>
      <c r="B16" s="321" t="s">
        <v>554</v>
      </c>
      <c r="C16" s="322" t="s">
        <v>119</v>
      </c>
      <c r="D16" s="323">
        <v>1</v>
      </c>
      <c r="E16" s="324">
        <v>11.5</v>
      </c>
      <c r="F16" s="325">
        <f t="shared" si="0"/>
        <v>11.5</v>
      </c>
      <c r="G16" s="393" t="s">
        <v>568</v>
      </c>
    </row>
    <row r="17" spans="1:7">
      <c r="A17" s="390"/>
      <c r="B17" s="321" t="s">
        <v>532</v>
      </c>
      <c r="C17" s="322" t="s">
        <v>75</v>
      </c>
      <c r="D17" s="323">
        <v>1</v>
      </c>
      <c r="E17" s="396"/>
      <c r="F17" s="325">
        <f>SUM(F7:F16)</f>
        <v>1126.0899999999999</v>
      </c>
      <c r="G17" s="396"/>
    </row>
    <row r="18" spans="1:7">
      <c r="A18" s="390"/>
      <c r="B18" s="396"/>
      <c r="C18" s="397"/>
      <c r="D18" s="396"/>
      <c r="E18" s="396"/>
      <c r="F18" s="396"/>
      <c r="G18" s="396"/>
    </row>
    <row r="19" spans="1:7">
      <c r="A19" s="390"/>
      <c r="B19" s="668"/>
      <c r="C19" s="669"/>
      <c r="D19" s="672" t="s">
        <v>619</v>
      </c>
      <c r="E19" s="672"/>
      <c r="F19" s="673">
        <f>ROUND(F17,0)</f>
        <v>1126</v>
      </c>
      <c r="G19" s="675"/>
    </row>
    <row r="20" spans="1:7">
      <c r="A20" s="390"/>
      <c r="B20" s="670"/>
      <c r="C20" s="671"/>
      <c r="D20" s="672"/>
      <c r="E20" s="672"/>
      <c r="F20" s="674"/>
      <c r="G20" s="675"/>
    </row>
    <row r="21" spans="1:7">
      <c r="A21" s="270" t="s">
        <v>733</v>
      </c>
      <c r="B21" s="662" t="s">
        <v>734</v>
      </c>
      <c r="C21" s="663"/>
      <c r="D21" s="664" t="s">
        <v>618</v>
      </c>
      <c r="E21" s="665"/>
      <c r="F21" s="666"/>
      <c r="G21" s="667"/>
    </row>
    <row r="22" spans="1:7">
      <c r="A22" s="390"/>
      <c r="B22" s="392" t="s">
        <v>548</v>
      </c>
      <c r="C22" s="392" t="s">
        <v>0</v>
      </c>
      <c r="D22" s="392" t="s">
        <v>549</v>
      </c>
      <c r="E22" s="392" t="s">
        <v>220</v>
      </c>
      <c r="F22" s="392" t="s">
        <v>550</v>
      </c>
      <c r="G22" s="392" t="s">
        <v>551</v>
      </c>
    </row>
    <row r="23" spans="1:7">
      <c r="A23" s="390"/>
      <c r="B23" s="321" t="s">
        <v>77</v>
      </c>
      <c r="C23" s="322" t="s">
        <v>72</v>
      </c>
      <c r="D23" s="323">
        <v>0.2</v>
      </c>
      <c r="E23" s="324">
        <v>2299</v>
      </c>
      <c r="F23" s="430">
        <v>460</v>
      </c>
      <c r="G23" s="393" t="s">
        <v>568</v>
      </c>
    </row>
    <row r="24" spans="1:7">
      <c r="A24" s="390"/>
      <c r="B24" s="321" t="s">
        <v>735</v>
      </c>
      <c r="C24" s="322" t="s">
        <v>75</v>
      </c>
      <c r="D24" s="323">
        <v>1</v>
      </c>
      <c r="E24" s="324">
        <v>545</v>
      </c>
      <c r="F24" s="325">
        <f t="shared" ref="F24:F32" si="1">D24*E24</f>
        <v>545</v>
      </c>
      <c r="G24" s="393" t="s">
        <v>568</v>
      </c>
    </row>
    <row r="25" spans="1:7">
      <c r="A25" s="390"/>
      <c r="B25" s="321" t="s">
        <v>724</v>
      </c>
      <c r="C25" s="322" t="s">
        <v>72</v>
      </c>
      <c r="D25" s="327">
        <v>0.4</v>
      </c>
      <c r="E25" s="324">
        <v>750</v>
      </c>
      <c r="F25" s="325">
        <f t="shared" si="1"/>
        <v>300</v>
      </c>
      <c r="G25" s="393" t="s">
        <v>568</v>
      </c>
    </row>
    <row r="26" spans="1:7">
      <c r="A26" s="390"/>
      <c r="B26" s="394" t="s">
        <v>730</v>
      </c>
      <c r="C26" s="322" t="s">
        <v>75</v>
      </c>
      <c r="D26" s="323">
        <v>1</v>
      </c>
      <c r="E26" s="324">
        <v>170</v>
      </c>
      <c r="F26" s="325">
        <f t="shared" si="1"/>
        <v>170</v>
      </c>
      <c r="G26" s="393" t="s">
        <v>568</v>
      </c>
    </row>
    <row r="27" spans="1:7">
      <c r="A27" s="390"/>
      <c r="B27" s="321" t="s">
        <v>571</v>
      </c>
      <c r="C27" s="322" t="s">
        <v>119</v>
      </c>
      <c r="D27" s="323">
        <v>1</v>
      </c>
      <c r="E27" s="324">
        <v>95</v>
      </c>
      <c r="F27" s="325">
        <f t="shared" si="1"/>
        <v>95</v>
      </c>
      <c r="G27" s="393" t="s">
        <v>568</v>
      </c>
    </row>
    <row r="28" spans="1:7">
      <c r="A28" s="390"/>
      <c r="B28" s="326" t="s">
        <v>1001</v>
      </c>
      <c r="C28" s="322" t="s">
        <v>732</v>
      </c>
      <c r="D28" s="327">
        <v>2.5999999999999999E-2</v>
      </c>
      <c r="E28" s="328">
        <v>899</v>
      </c>
      <c r="F28" s="395">
        <f t="shared" si="1"/>
        <v>23.373999999999999</v>
      </c>
      <c r="G28" s="393" t="s">
        <v>568</v>
      </c>
    </row>
    <row r="29" spans="1:7">
      <c r="A29" s="390"/>
      <c r="B29" s="326" t="s">
        <v>741</v>
      </c>
      <c r="C29" s="322" t="s">
        <v>732</v>
      </c>
      <c r="D29" s="327">
        <v>2.5000000000000001E-2</v>
      </c>
      <c r="E29" s="328">
        <f>500</f>
        <v>500</v>
      </c>
      <c r="F29" s="395">
        <f t="shared" si="1"/>
        <v>12.5</v>
      </c>
      <c r="G29" s="393" t="s">
        <v>568</v>
      </c>
    </row>
    <row r="30" spans="1:7">
      <c r="A30" s="390"/>
      <c r="B30" s="326" t="s">
        <v>1000</v>
      </c>
      <c r="C30" s="322" t="s">
        <v>732</v>
      </c>
      <c r="D30" s="327">
        <v>2.5000000000000001E-2</v>
      </c>
      <c r="E30" s="328">
        <f>400</f>
        <v>400</v>
      </c>
      <c r="F30" s="395">
        <f t="shared" si="1"/>
        <v>10</v>
      </c>
      <c r="G30" s="393" t="s">
        <v>568</v>
      </c>
    </row>
    <row r="31" spans="1:7">
      <c r="A31" s="390"/>
      <c r="B31" s="321" t="s">
        <v>731</v>
      </c>
      <c r="C31" s="322" t="s">
        <v>732</v>
      </c>
      <c r="D31" s="323">
        <v>1</v>
      </c>
      <c r="E31" s="324">
        <v>20</v>
      </c>
      <c r="F31" s="325">
        <f t="shared" si="1"/>
        <v>20</v>
      </c>
      <c r="G31" s="393" t="s">
        <v>568</v>
      </c>
    </row>
    <row r="32" spans="1:7">
      <c r="A32" s="390"/>
      <c r="B32" s="321" t="s">
        <v>554</v>
      </c>
      <c r="C32" s="322" t="s">
        <v>119</v>
      </c>
      <c r="D32" s="323">
        <v>1</v>
      </c>
      <c r="E32" s="324">
        <v>4</v>
      </c>
      <c r="F32" s="325">
        <f t="shared" si="1"/>
        <v>4</v>
      </c>
      <c r="G32" s="393" t="s">
        <v>568</v>
      </c>
    </row>
    <row r="33" spans="1:7">
      <c r="A33" s="390"/>
      <c r="B33" s="321" t="s">
        <v>532</v>
      </c>
      <c r="C33" s="322" t="s">
        <v>75</v>
      </c>
      <c r="D33" s="323">
        <v>1</v>
      </c>
      <c r="E33" s="396"/>
      <c r="F33" s="325">
        <f>SUM(F23:F32)</f>
        <v>1639.874</v>
      </c>
      <c r="G33" s="396"/>
    </row>
    <row r="34" spans="1:7">
      <c r="A34" s="390"/>
      <c r="B34" s="396"/>
      <c r="C34" s="397"/>
      <c r="D34" s="396"/>
      <c r="E34" s="396"/>
      <c r="F34" s="396"/>
      <c r="G34" s="396"/>
    </row>
    <row r="35" spans="1:7">
      <c r="A35" s="390"/>
      <c r="B35" s="668"/>
      <c r="C35" s="669"/>
      <c r="D35" s="672" t="s">
        <v>619</v>
      </c>
      <c r="E35" s="672"/>
      <c r="F35" s="673">
        <f>ROUND(F33,0)</f>
        <v>1640</v>
      </c>
      <c r="G35" s="675"/>
    </row>
    <row r="36" spans="1:7">
      <c r="A36" s="390"/>
      <c r="B36" s="670"/>
      <c r="C36" s="671"/>
      <c r="D36" s="672"/>
      <c r="E36" s="672"/>
      <c r="F36" s="674"/>
      <c r="G36" s="675"/>
    </row>
    <row r="37" spans="1:7">
      <c r="A37" s="270" t="s">
        <v>736</v>
      </c>
      <c r="B37" s="662" t="s">
        <v>737</v>
      </c>
      <c r="C37" s="663"/>
      <c r="D37" s="664" t="s">
        <v>618</v>
      </c>
      <c r="E37" s="665"/>
      <c r="F37" s="666"/>
      <c r="G37" s="667"/>
    </row>
    <row r="38" spans="1:7">
      <c r="A38" s="390"/>
      <c r="B38" s="392" t="s">
        <v>548</v>
      </c>
      <c r="C38" s="392" t="s">
        <v>0</v>
      </c>
      <c r="D38" s="392" t="s">
        <v>549</v>
      </c>
      <c r="E38" s="392" t="s">
        <v>220</v>
      </c>
      <c r="F38" s="392" t="s">
        <v>550</v>
      </c>
      <c r="G38" s="392" t="s">
        <v>551</v>
      </c>
    </row>
    <row r="39" spans="1:7" ht="42">
      <c r="A39" s="390"/>
      <c r="B39" s="394" t="s">
        <v>738</v>
      </c>
      <c r="C39" s="322" t="s">
        <v>75</v>
      </c>
      <c r="D39" s="323">
        <v>1</v>
      </c>
      <c r="E39" s="324">
        <v>365</v>
      </c>
      <c r="F39" s="325">
        <f>D39*E39</f>
        <v>365</v>
      </c>
      <c r="G39" s="393" t="s">
        <v>568</v>
      </c>
    </row>
    <row r="40" spans="1:7">
      <c r="A40" s="390"/>
      <c r="B40" s="321" t="s">
        <v>241</v>
      </c>
      <c r="C40" s="322" t="s">
        <v>72</v>
      </c>
      <c r="D40" s="323">
        <v>0.1</v>
      </c>
      <c r="E40" s="324">
        <v>660</v>
      </c>
      <c r="F40" s="325">
        <f t="shared" ref="F40:F47" si="2">D40*E40</f>
        <v>66</v>
      </c>
      <c r="G40" s="393" t="s">
        <v>568</v>
      </c>
    </row>
    <row r="41" spans="1:7">
      <c r="A41" s="390"/>
      <c r="B41" s="321" t="s">
        <v>724</v>
      </c>
      <c r="C41" s="322" t="s">
        <v>72</v>
      </c>
      <c r="D41" s="327">
        <v>0.35</v>
      </c>
      <c r="E41" s="324">
        <v>750</v>
      </c>
      <c r="F41" s="325">
        <f t="shared" si="2"/>
        <v>262.5</v>
      </c>
      <c r="G41" s="393" t="s">
        <v>568</v>
      </c>
    </row>
    <row r="42" spans="1:7">
      <c r="A42" s="390"/>
      <c r="B42" s="326" t="s">
        <v>1001</v>
      </c>
      <c r="C42" s="322" t="s">
        <v>732</v>
      </c>
      <c r="D42" s="327">
        <v>4.2000000000000003E-2</v>
      </c>
      <c r="E42" s="328">
        <v>899</v>
      </c>
      <c r="F42" s="395">
        <f t="shared" si="2"/>
        <v>37.758000000000003</v>
      </c>
      <c r="G42" s="393" t="s">
        <v>568</v>
      </c>
    </row>
    <row r="43" spans="1:7">
      <c r="A43" s="390"/>
      <c r="B43" s="326" t="s">
        <v>741</v>
      </c>
      <c r="C43" s="322" t="s">
        <v>732</v>
      </c>
      <c r="D43" s="327">
        <v>4.2000000000000003E-2</v>
      </c>
      <c r="E43" s="328">
        <f>500</f>
        <v>500</v>
      </c>
      <c r="F43" s="395">
        <f t="shared" si="2"/>
        <v>21</v>
      </c>
      <c r="G43" s="393" t="s">
        <v>568</v>
      </c>
    </row>
    <row r="44" spans="1:7">
      <c r="A44" s="390"/>
      <c r="B44" s="326" t="s">
        <v>1000</v>
      </c>
      <c r="C44" s="322" t="s">
        <v>732</v>
      </c>
      <c r="D44" s="327">
        <v>4.2000000000000003E-2</v>
      </c>
      <c r="E44" s="328">
        <f>400</f>
        <v>400</v>
      </c>
      <c r="F44" s="395">
        <f t="shared" si="2"/>
        <v>16.8</v>
      </c>
      <c r="G44" s="393" t="s">
        <v>568</v>
      </c>
    </row>
    <row r="45" spans="1:7">
      <c r="A45" s="390"/>
      <c r="B45" s="394" t="s">
        <v>552</v>
      </c>
      <c r="C45" s="322" t="s">
        <v>553</v>
      </c>
      <c r="D45" s="323">
        <v>0.02</v>
      </c>
      <c r="E45" s="324">
        <v>2498</v>
      </c>
      <c r="F45" s="325">
        <f t="shared" si="2"/>
        <v>49.96</v>
      </c>
      <c r="G45" s="393" t="s">
        <v>568</v>
      </c>
    </row>
    <row r="46" spans="1:7">
      <c r="A46" s="390"/>
      <c r="B46" s="321" t="s">
        <v>204</v>
      </c>
      <c r="C46" s="322" t="s">
        <v>553</v>
      </c>
      <c r="D46" s="323">
        <v>0.02</v>
      </c>
      <c r="E46" s="324">
        <v>1499</v>
      </c>
      <c r="F46" s="325">
        <f t="shared" si="2"/>
        <v>29.98</v>
      </c>
      <c r="G46" s="393" t="s">
        <v>568</v>
      </c>
    </row>
    <row r="47" spans="1:7">
      <c r="A47" s="390"/>
      <c r="B47" s="321" t="s">
        <v>554</v>
      </c>
      <c r="C47" s="322" t="s">
        <v>119</v>
      </c>
      <c r="D47" s="323">
        <v>1</v>
      </c>
      <c r="E47" s="324">
        <v>11.56</v>
      </c>
      <c r="F47" s="325">
        <f t="shared" si="2"/>
        <v>11.56</v>
      </c>
      <c r="G47" s="393" t="s">
        <v>568</v>
      </c>
    </row>
    <row r="48" spans="1:7">
      <c r="A48" s="390"/>
      <c r="B48" s="321" t="s">
        <v>532</v>
      </c>
      <c r="C48" s="322" t="s">
        <v>75</v>
      </c>
      <c r="D48" s="323">
        <v>1</v>
      </c>
      <c r="E48" s="396"/>
      <c r="F48" s="325">
        <f>SUM(F39:F47)</f>
        <v>860.55799999999999</v>
      </c>
      <c r="G48" s="396"/>
    </row>
    <row r="49" spans="1:7">
      <c r="A49" s="390"/>
      <c r="B49" s="396"/>
      <c r="C49" s="397"/>
      <c r="D49" s="396"/>
      <c r="E49" s="396"/>
      <c r="F49" s="396"/>
      <c r="G49" s="396"/>
    </row>
    <row r="50" spans="1:7">
      <c r="A50" s="390"/>
      <c r="B50" s="668"/>
      <c r="C50" s="669"/>
      <c r="D50" s="672" t="s">
        <v>619</v>
      </c>
      <c r="E50" s="672"/>
      <c r="F50" s="673">
        <f>ROUND(F48,0)</f>
        <v>861</v>
      </c>
      <c r="G50" s="675"/>
    </row>
    <row r="51" spans="1:7">
      <c r="A51" s="390"/>
      <c r="B51" s="670"/>
      <c r="C51" s="671"/>
      <c r="D51" s="672"/>
      <c r="E51" s="672"/>
      <c r="F51" s="674"/>
      <c r="G51" s="675"/>
    </row>
    <row r="52" spans="1:7">
      <c r="A52" s="270" t="s">
        <v>1294</v>
      </c>
      <c r="B52" s="662" t="s">
        <v>739</v>
      </c>
      <c r="C52" s="663"/>
      <c r="D52" s="664" t="s">
        <v>618</v>
      </c>
      <c r="E52" s="665"/>
      <c r="F52" s="666"/>
      <c r="G52" s="667"/>
    </row>
    <row r="53" spans="1:7">
      <c r="A53" s="390"/>
      <c r="B53" s="392" t="s">
        <v>548</v>
      </c>
      <c r="C53" s="392" t="s">
        <v>0</v>
      </c>
      <c r="D53" s="392" t="s">
        <v>549</v>
      </c>
      <c r="E53" s="392" t="s">
        <v>220</v>
      </c>
      <c r="F53" s="392" t="s">
        <v>550</v>
      </c>
      <c r="G53" s="392" t="s">
        <v>551</v>
      </c>
    </row>
    <row r="54" spans="1:7">
      <c r="A54" s="390"/>
      <c r="B54" s="321" t="s">
        <v>723</v>
      </c>
      <c r="C54" s="322" t="s">
        <v>72</v>
      </c>
      <c r="D54" s="323">
        <v>0.05</v>
      </c>
      <c r="E54" s="324">
        <v>3998</v>
      </c>
      <c r="F54" s="325">
        <f>D54*E54</f>
        <v>199.9</v>
      </c>
      <c r="G54" s="393" t="s">
        <v>568</v>
      </c>
    </row>
    <row r="55" spans="1:7">
      <c r="A55" s="390"/>
      <c r="B55" s="321" t="s">
        <v>724</v>
      </c>
      <c r="C55" s="322" t="s">
        <v>72</v>
      </c>
      <c r="D55" s="327">
        <v>0.4</v>
      </c>
      <c r="E55" s="324">
        <v>750</v>
      </c>
      <c r="F55" s="325">
        <f t="shared" ref="F55" si="3">D55*E55</f>
        <v>300</v>
      </c>
      <c r="G55" s="393" t="s">
        <v>568</v>
      </c>
    </row>
    <row r="56" spans="1:7">
      <c r="A56" s="390"/>
      <c r="B56" s="321" t="s">
        <v>725</v>
      </c>
      <c r="C56" s="322" t="s">
        <v>119</v>
      </c>
      <c r="D56" s="323">
        <v>1</v>
      </c>
      <c r="E56" s="324">
        <v>35</v>
      </c>
      <c r="F56" s="325">
        <f t="shared" ref="F56:F65" si="4">D56*E56</f>
        <v>35</v>
      </c>
      <c r="G56" s="393" t="s">
        <v>568</v>
      </c>
    </row>
    <row r="57" spans="1:7">
      <c r="A57" s="390"/>
      <c r="B57" s="394" t="s">
        <v>726</v>
      </c>
      <c r="C57" s="322" t="s">
        <v>119</v>
      </c>
      <c r="D57" s="323">
        <v>1</v>
      </c>
      <c r="E57" s="324">
        <v>30</v>
      </c>
      <c r="F57" s="325">
        <f t="shared" si="4"/>
        <v>30</v>
      </c>
      <c r="G57" s="393" t="s">
        <v>568</v>
      </c>
    </row>
    <row r="58" spans="1:7">
      <c r="A58" s="390"/>
      <c r="B58" s="321" t="s">
        <v>727</v>
      </c>
      <c r="C58" s="322" t="s">
        <v>119</v>
      </c>
      <c r="D58" s="323">
        <v>1</v>
      </c>
      <c r="E58" s="324">
        <v>35</v>
      </c>
      <c r="F58" s="325">
        <f t="shared" si="4"/>
        <v>35</v>
      </c>
      <c r="G58" s="393" t="s">
        <v>568</v>
      </c>
    </row>
    <row r="59" spans="1:7">
      <c r="A59" s="390"/>
      <c r="B59" s="326" t="s">
        <v>1001</v>
      </c>
      <c r="C59" s="322" t="s">
        <v>732</v>
      </c>
      <c r="D59" s="327">
        <v>5.1999999999999998E-2</v>
      </c>
      <c r="E59" s="328">
        <v>899</v>
      </c>
      <c r="F59" s="395">
        <f t="shared" si="4"/>
        <v>46.747999999999998</v>
      </c>
      <c r="G59" s="393" t="s">
        <v>568</v>
      </c>
    </row>
    <row r="60" spans="1:7">
      <c r="A60" s="390"/>
      <c r="B60" s="326" t="s">
        <v>741</v>
      </c>
      <c r="C60" s="322" t="s">
        <v>732</v>
      </c>
      <c r="D60" s="327">
        <v>5.1999999999999998E-2</v>
      </c>
      <c r="E60" s="328">
        <f>500</f>
        <v>500</v>
      </c>
      <c r="F60" s="395">
        <f t="shared" si="4"/>
        <v>26</v>
      </c>
      <c r="G60" s="393" t="s">
        <v>568</v>
      </c>
    </row>
    <row r="61" spans="1:7">
      <c r="A61" s="390"/>
      <c r="B61" s="326" t="s">
        <v>1000</v>
      </c>
      <c r="C61" s="322" t="s">
        <v>732</v>
      </c>
      <c r="D61" s="327">
        <v>5.1999999999999998E-2</v>
      </c>
      <c r="E61" s="328">
        <f>400</f>
        <v>400</v>
      </c>
      <c r="F61" s="395">
        <f t="shared" si="4"/>
        <v>20.8</v>
      </c>
      <c r="G61" s="393" t="s">
        <v>568</v>
      </c>
    </row>
    <row r="62" spans="1:7">
      <c r="A62" s="390"/>
      <c r="B62" s="321" t="s">
        <v>728</v>
      </c>
      <c r="C62" s="322" t="s">
        <v>75</v>
      </c>
      <c r="D62" s="323">
        <v>1</v>
      </c>
      <c r="E62" s="324">
        <v>20</v>
      </c>
      <c r="F62" s="325">
        <f t="shared" si="4"/>
        <v>20</v>
      </c>
      <c r="G62" s="393" t="s">
        <v>568</v>
      </c>
    </row>
    <row r="63" spans="1:7">
      <c r="A63" s="390"/>
      <c r="B63" s="394" t="s">
        <v>552</v>
      </c>
      <c r="C63" s="322" t="s">
        <v>553</v>
      </c>
      <c r="D63" s="327">
        <v>0.03</v>
      </c>
      <c r="E63" s="324">
        <v>2498</v>
      </c>
      <c r="F63" s="325">
        <f t="shared" si="4"/>
        <v>74.94</v>
      </c>
      <c r="G63" s="393" t="s">
        <v>568</v>
      </c>
    </row>
    <row r="64" spans="1:7">
      <c r="A64" s="390"/>
      <c r="B64" s="321" t="s">
        <v>204</v>
      </c>
      <c r="C64" s="322" t="s">
        <v>553</v>
      </c>
      <c r="D64" s="327">
        <v>0.04</v>
      </c>
      <c r="E64" s="324">
        <v>1499</v>
      </c>
      <c r="F64" s="325">
        <f t="shared" si="4"/>
        <v>59.96</v>
      </c>
      <c r="G64" s="393" t="s">
        <v>568</v>
      </c>
    </row>
    <row r="65" spans="1:7">
      <c r="A65" s="390"/>
      <c r="B65" s="321" t="s">
        <v>554</v>
      </c>
      <c r="C65" s="322" t="s">
        <v>119</v>
      </c>
      <c r="D65" s="323">
        <v>1</v>
      </c>
      <c r="E65" s="324">
        <v>13.16</v>
      </c>
      <c r="F65" s="325">
        <f t="shared" si="4"/>
        <v>13.16</v>
      </c>
      <c r="G65" s="393" t="s">
        <v>568</v>
      </c>
    </row>
    <row r="66" spans="1:7">
      <c r="A66" s="390"/>
      <c r="B66" s="321" t="s">
        <v>532</v>
      </c>
      <c r="C66" s="322" t="s">
        <v>75</v>
      </c>
      <c r="D66" s="323">
        <v>1</v>
      </c>
      <c r="E66" s="396"/>
      <c r="F66" s="325">
        <f>SUM(F54:F65)</f>
        <v>861.50799999999992</v>
      </c>
      <c r="G66" s="396"/>
    </row>
    <row r="67" spans="1:7">
      <c r="A67" s="390"/>
      <c r="B67" s="396"/>
      <c r="C67" s="397"/>
      <c r="D67" s="396"/>
      <c r="E67" s="396"/>
      <c r="F67" s="396"/>
      <c r="G67" s="396"/>
    </row>
    <row r="68" spans="1:7">
      <c r="A68" s="390"/>
      <c r="B68" s="668"/>
      <c r="C68" s="669"/>
      <c r="D68" s="672" t="s">
        <v>619</v>
      </c>
      <c r="E68" s="672"/>
      <c r="F68" s="673">
        <f>ROUND(F66,0)</f>
        <v>862</v>
      </c>
      <c r="G68" s="675"/>
    </row>
    <row r="69" spans="1:7">
      <c r="A69" s="390"/>
      <c r="B69" s="670"/>
      <c r="C69" s="671"/>
      <c r="D69" s="672"/>
      <c r="E69" s="672"/>
      <c r="F69" s="674"/>
      <c r="G69" s="675"/>
    </row>
    <row r="70" spans="1:7">
      <c r="A70" s="270" t="s">
        <v>752</v>
      </c>
      <c r="B70" s="662" t="s">
        <v>753</v>
      </c>
      <c r="C70" s="663"/>
      <c r="D70" s="664" t="s">
        <v>754</v>
      </c>
      <c r="E70" s="665"/>
      <c r="F70" s="666"/>
      <c r="G70" s="667"/>
    </row>
    <row r="71" spans="1:7">
      <c r="A71" s="390"/>
      <c r="B71" s="392" t="s">
        <v>548</v>
      </c>
      <c r="C71" s="392" t="s">
        <v>0</v>
      </c>
      <c r="D71" s="392" t="s">
        <v>549</v>
      </c>
      <c r="E71" s="392" t="s">
        <v>220</v>
      </c>
      <c r="F71" s="392" t="s">
        <v>550</v>
      </c>
      <c r="G71" s="392" t="s">
        <v>551</v>
      </c>
    </row>
    <row r="72" spans="1:7">
      <c r="A72" s="390"/>
      <c r="B72" s="321" t="s">
        <v>756</v>
      </c>
      <c r="C72" s="322" t="s">
        <v>75</v>
      </c>
      <c r="D72" s="327">
        <v>4.45</v>
      </c>
      <c r="E72" s="324">
        <v>9244</v>
      </c>
      <c r="F72" s="325">
        <f>D72*E72</f>
        <v>41135.800000000003</v>
      </c>
      <c r="G72" s="393" t="s">
        <v>568</v>
      </c>
    </row>
    <row r="73" spans="1:7">
      <c r="A73" s="390"/>
      <c r="B73" s="321" t="s">
        <v>757</v>
      </c>
      <c r="C73" s="322" t="s">
        <v>11</v>
      </c>
      <c r="D73" s="323">
        <v>2.1</v>
      </c>
      <c r="E73" s="324">
        <v>320</v>
      </c>
      <c r="F73" s="325">
        <f t="shared" ref="F73:F85" si="5">D73*E73</f>
        <v>672</v>
      </c>
      <c r="G73" s="393" t="s">
        <v>568</v>
      </c>
    </row>
    <row r="74" spans="1:7">
      <c r="A74" s="390"/>
      <c r="B74" s="321" t="s">
        <v>758</v>
      </c>
      <c r="C74" s="322" t="s">
        <v>119</v>
      </c>
      <c r="D74" s="323">
        <v>1</v>
      </c>
      <c r="E74" s="431">
        <f>14991*1.86</f>
        <v>27883.260000000002</v>
      </c>
      <c r="F74" s="325">
        <f t="shared" si="5"/>
        <v>27883.260000000002</v>
      </c>
      <c r="G74" s="398" t="s">
        <v>1002</v>
      </c>
    </row>
    <row r="75" spans="1:7" ht="21">
      <c r="A75" s="390"/>
      <c r="B75" s="394" t="s">
        <v>759</v>
      </c>
      <c r="C75" s="322" t="s">
        <v>11</v>
      </c>
      <c r="D75" s="323">
        <v>7.18</v>
      </c>
      <c r="E75" s="324">
        <v>555</v>
      </c>
      <c r="F75" s="325">
        <f t="shared" si="5"/>
        <v>3984.8999999999996</v>
      </c>
      <c r="G75" s="393" t="s">
        <v>568</v>
      </c>
    </row>
    <row r="76" spans="1:7" ht="21">
      <c r="A76" s="390"/>
      <c r="B76" s="394" t="s">
        <v>760</v>
      </c>
      <c r="C76" s="322" t="s">
        <v>75</v>
      </c>
      <c r="D76" s="327">
        <v>4.0599999999999996</v>
      </c>
      <c r="E76" s="324">
        <v>14791</v>
      </c>
      <c r="F76" s="325">
        <f t="shared" si="5"/>
        <v>60051.459999999992</v>
      </c>
      <c r="G76" s="393" t="s">
        <v>568</v>
      </c>
    </row>
    <row r="77" spans="1:7" ht="21">
      <c r="A77" s="390"/>
      <c r="B77" s="394" t="s">
        <v>761</v>
      </c>
      <c r="C77" s="322" t="s">
        <v>75</v>
      </c>
      <c r="D77" s="323">
        <v>0.3</v>
      </c>
      <c r="E77" s="324">
        <v>5547</v>
      </c>
      <c r="F77" s="325">
        <f t="shared" si="5"/>
        <v>1664.1</v>
      </c>
      <c r="G77" s="393" t="s">
        <v>568</v>
      </c>
    </row>
    <row r="78" spans="1:7">
      <c r="A78" s="390"/>
      <c r="B78" s="321" t="s">
        <v>762</v>
      </c>
      <c r="C78" s="322" t="s">
        <v>763</v>
      </c>
      <c r="D78" s="432">
        <v>1.86</v>
      </c>
      <c r="E78" s="324">
        <v>3998</v>
      </c>
      <c r="F78" s="325">
        <f t="shared" si="5"/>
        <v>7436.2800000000007</v>
      </c>
      <c r="G78" s="393" t="s">
        <v>568</v>
      </c>
    </row>
    <row r="79" spans="1:7">
      <c r="A79" s="390"/>
      <c r="B79" s="321" t="s">
        <v>748</v>
      </c>
      <c r="C79" s="322" t="s">
        <v>119</v>
      </c>
      <c r="D79" s="323">
        <v>1</v>
      </c>
      <c r="E79" s="324">
        <v>9994</v>
      </c>
      <c r="F79" s="325">
        <f t="shared" si="5"/>
        <v>9994</v>
      </c>
      <c r="G79" s="393" t="s">
        <v>568</v>
      </c>
    </row>
    <row r="80" spans="1:7">
      <c r="A80" s="390"/>
      <c r="B80" s="394" t="s">
        <v>645</v>
      </c>
      <c r="C80" s="322" t="s">
        <v>119</v>
      </c>
      <c r="D80" s="323">
        <v>1</v>
      </c>
      <c r="E80" s="324">
        <f>3998</f>
        <v>3998</v>
      </c>
      <c r="F80" s="325">
        <f t="shared" si="5"/>
        <v>3998</v>
      </c>
      <c r="G80" s="393" t="s">
        <v>568</v>
      </c>
    </row>
    <row r="81" spans="1:7" ht="21">
      <c r="A81" s="390"/>
      <c r="B81" s="394" t="s">
        <v>1003</v>
      </c>
      <c r="C81" s="322" t="s">
        <v>119</v>
      </c>
      <c r="D81" s="323">
        <v>1</v>
      </c>
      <c r="E81" s="324">
        <v>3998</v>
      </c>
      <c r="F81" s="325">
        <f t="shared" si="5"/>
        <v>3998</v>
      </c>
      <c r="G81" s="393" t="s">
        <v>568</v>
      </c>
    </row>
    <row r="82" spans="1:7">
      <c r="A82" s="390"/>
      <c r="B82" s="394" t="s">
        <v>552</v>
      </c>
      <c r="C82" s="322" t="s">
        <v>553</v>
      </c>
      <c r="D82" s="327">
        <v>4</v>
      </c>
      <c r="E82" s="324">
        <v>2498</v>
      </c>
      <c r="F82" s="325">
        <f t="shared" si="5"/>
        <v>9992</v>
      </c>
      <c r="G82" s="393" t="s">
        <v>568</v>
      </c>
    </row>
    <row r="83" spans="1:7">
      <c r="A83" s="390"/>
      <c r="B83" s="321" t="s">
        <v>204</v>
      </c>
      <c r="C83" s="322" t="s">
        <v>553</v>
      </c>
      <c r="D83" s="327">
        <v>3.62</v>
      </c>
      <c r="E83" s="324">
        <v>1499</v>
      </c>
      <c r="F83" s="325">
        <f t="shared" si="5"/>
        <v>5426.38</v>
      </c>
      <c r="G83" s="393" t="s">
        <v>568</v>
      </c>
    </row>
    <row r="84" spans="1:7">
      <c r="A84" s="390"/>
      <c r="B84" s="394" t="s">
        <v>637</v>
      </c>
      <c r="C84" s="322" t="s">
        <v>119</v>
      </c>
      <c r="D84" s="323">
        <v>1</v>
      </c>
      <c r="E84" s="324">
        <f>500</f>
        <v>500</v>
      </c>
      <c r="F84" s="325">
        <f t="shared" si="5"/>
        <v>500</v>
      </c>
      <c r="G84" s="393" t="s">
        <v>568</v>
      </c>
    </row>
    <row r="85" spans="1:7">
      <c r="A85" s="390"/>
      <c r="B85" s="321" t="s">
        <v>554</v>
      </c>
      <c r="C85" s="322" t="s">
        <v>119</v>
      </c>
      <c r="D85" s="323">
        <v>1</v>
      </c>
      <c r="E85" s="324">
        <f>39.49</f>
        <v>39.49</v>
      </c>
      <c r="F85" s="325">
        <f t="shared" si="5"/>
        <v>39.49</v>
      </c>
      <c r="G85" s="393" t="s">
        <v>568</v>
      </c>
    </row>
    <row r="86" spans="1:7">
      <c r="A86" s="390"/>
      <c r="B86" s="321" t="s">
        <v>532</v>
      </c>
      <c r="C86" s="322" t="s">
        <v>75</v>
      </c>
      <c r="D86" s="323">
        <v>1</v>
      </c>
      <c r="E86" s="396"/>
      <c r="F86" s="325">
        <f>SUM(F72:F85)</f>
        <v>176775.66999999998</v>
      </c>
      <c r="G86" s="396"/>
    </row>
    <row r="87" spans="1:7">
      <c r="A87" s="390"/>
      <c r="B87" s="429"/>
      <c r="C87" s="427"/>
      <c r="D87" s="323"/>
      <c r="E87" s="396"/>
      <c r="F87" s="325"/>
      <c r="G87" s="396"/>
    </row>
    <row r="88" spans="1:7">
      <c r="A88" s="390"/>
      <c r="B88" s="668"/>
      <c r="C88" s="669"/>
      <c r="D88" s="672" t="s">
        <v>755</v>
      </c>
      <c r="E88" s="672"/>
      <c r="F88" s="673">
        <f>ROUND(F86,0)</f>
        <v>176776</v>
      </c>
      <c r="G88" s="675"/>
    </row>
    <row r="89" spans="1:7">
      <c r="A89" s="390"/>
      <c r="B89" s="670"/>
      <c r="C89" s="671"/>
      <c r="D89" s="672"/>
      <c r="E89" s="672"/>
      <c r="F89" s="674"/>
      <c r="G89" s="675"/>
    </row>
    <row r="90" spans="1:7">
      <c r="A90" s="270" t="s">
        <v>662</v>
      </c>
      <c r="B90" s="662" t="s">
        <v>664</v>
      </c>
      <c r="C90" s="663"/>
      <c r="D90" s="664" t="s">
        <v>611</v>
      </c>
      <c r="E90" s="665"/>
      <c r="F90" s="399"/>
      <c r="G90" s="400"/>
    </row>
    <row r="91" spans="1:7">
      <c r="A91" s="390"/>
      <c r="B91" s="392" t="s">
        <v>548</v>
      </c>
      <c r="C91" s="392" t="s">
        <v>0</v>
      </c>
      <c r="D91" s="392" t="s">
        <v>549</v>
      </c>
      <c r="E91" s="392" t="s">
        <v>220</v>
      </c>
      <c r="F91" s="392" t="s">
        <v>550</v>
      </c>
      <c r="G91" s="392" t="s">
        <v>551</v>
      </c>
    </row>
    <row r="92" spans="1:7">
      <c r="A92" s="390"/>
      <c r="B92" s="321" t="s">
        <v>1004</v>
      </c>
      <c r="C92" s="322" t="s">
        <v>72</v>
      </c>
      <c r="D92" s="323">
        <v>155.58000000000001</v>
      </c>
      <c r="E92" s="324">
        <v>30</v>
      </c>
      <c r="F92" s="325">
        <f t="shared" ref="F92:F113" si="6">D92*E92</f>
        <v>4667.4000000000005</v>
      </c>
      <c r="G92" s="393" t="s">
        <v>568</v>
      </c>
    </row>
    <row r="93" spans="1:7">
      <c r="A93" s="390"/>
      <c r="B93" s="394" t="s">
        <v>1005</v>
      </c>
      <c r="C93" s="322" t="s">
        <v>72</v>
      </c>
      <c r="D93" s="323">
        <v>68.14</v>
      </c>
      <c r="E93" s="324">
        <v>45</v>
      </c>
      <c r="F93" s="325">
        <f t="shared" si="6"/>
        <v>3066.3</v>
      </c>
      <c r="G93" s="393" t="s">
        <v>568</v>
      </c>
    </row>
    <row r="94" spans="1:7">
      <c r="A94" s="390"/>
      <c r="B94" s="394" t="s">
        <v>666</v>
      </c>
      <c r="C94" s="322" t="s">
        <v>126</v>
      </c>
      <c r="D94" s="323">
        <v>2</v>
      </c>
      <c r="E94" s="324">
        <v>7995</v>
      </c>
      <c r="F94" s="325">
        <f t="shared" si="6"/>
        <v>15990</v>
      </c>
      <c r="G94" s="393" t="s">
        <v>568</v>
      </c>
    </row>
    <row r="95" spans="1:7">
      <c r="A95" s="390"/>
      <c r="B95" s="326" t="s">
        <v>667</v>
      </c>
      <c r="C95" s="322" t="s">
        <v>126</v>
      </c>
      <c r="D95" s="323">
        <v>2</v>
      </c>
      <c r="E95" s="324">
        <v>25687.64</v>
      </c>
      <c r="F95" s="325">
        <f t="shared" si="6"/>
        <v>51375.28</v>
      </c>
      <c r="G95" s="398" t="s">
        <v>574</v>
      </c>
    </row>
    <row r="96" spans="1:7">
      <c r="A96" s="390"/>
      <c r="B96" s="394" t="s">
        <v>77</v>
      </c>
      <c r="C96" s="322" t="s">
        <v>72</v>
      </c>
      <c r="D96" s="327">
        <v>20.010000000000002</v>
      </c>
      <c r="E96" s="324">
        <v>2299</v>
      </c>
      <c r="F96" s="325">
        <f t="shared" si="6"/>
        <v>46002.990000000005</v>
      </c>
      <c r="G96" s="393" t="s">
        <v>568</v>
      </c>
    </row>
    <row r="97" spans="1:7">
      <c r="A97" s="390"/>
      <c r="B97" s="401" t="s">
        <v>668</v>
      </c>
      <c r="C97" s="322" t="s">
        <v>72</v>
      </c>
      <c r="D97" s="323">
        <v>0.99</v>
      </c>
      <c r="E97" s="324">
        <v>2150</v>
      </c>
      <c r="F97" s="325">
        <f t="shared" si="6"/>
        <v>2128.5</v>
      </c>
      <c r="G97" s="393" t="s">
        <v>568</v>
      </c>
    </row>
    <row r="98" spans="1:7">
      <c r="A98" s="390"/>
      <c r="B98" s="401" t="s">
        <v>669</v>
      </c>
      <c r="C98" s="322" t="s">
        <v>239</v>
      </c>
      <c r="D98" s="323">
        <v>376.36399999999998</v>
      </c>
      <c r="E98" s="324">
        <v>26</v>
      </c>
      <c r="F98" s="325">
        <f t="shared" si="6"/>
        <v>9785.4639999999999</v>
      </c>
      <c r="G98" s="393" t="s">
        <v>568</v>
      </c>
    </row>
    <row r="99" spans="1:7">
      <c r="A99" s="390"/>
      <c r="B99" s="401" t="s">
        <v>670</v>
      </c>
      <c r="C99" s="322" t="s">
        <v>239</v>
      </c>
      <c r="D99" s="323">
        <v>457.899</v>
      </c>
      <c r="E99" s="324">
        <v>29.41</v>
      </c>
      <c r="F99" s="325">
        <f t="shared" si="6"/>
        <v>13466.809590000001</v>
      </c>
      <c r="G99" s="398" t="s">
        <v>574</v>
      </c>
    </row>
    <row r="100" spans="1:7">
      <c r="A100" s="390"/>
      <c r="B100" s="394" t="s">
        <v>237</v>
      </c>
      <c r="C100" s="322" t="s">
        <v>75</v>
      </c>
      <c r="D100" s="327">
        <v>33.58</v>
      </c>
      <c r="E100" s="324">
        <v>400</v>
      </c>
      <c r="F100" s="325">
        <f t="shared" si="6"/>
        <v>13432</v>
      </c>
      <c r="G100" s="393" t="s">
        <v>568</v>
      </c>
    </row>
    <row r="101" spans="1:7">
      <c r="A101" s="390"/>
      <c r="B101" s="394" t="s">
        <v>671</v>
      </c>
      <c r="C101" s="322" t="s">
        <v>102</v>
      </c>
      <c r="D101" s="327">
        <v>6</v>
      </c>
      <c r="E101" s="324">
        <v>500</v>
      </c>
      <c r="F101" s="325">
        <f t="shared" si="6"/>
        <v>3000</v>
      </c>
      <c r="G101" s="393" t="s">
        <v>568</v>
      </c>
    </row>
    <row r="102" spans="1:7">
      <c r="A102" s="390"/>
      <c r="B102" s="394" t="s">
        <v>672</v>
      </c>
      <c r="C102" s="322" t="s">
        <v>622</v>
      </c>
      <c r="D102" s="327">
        <v>53.400000000000006</v>
      </c>
      <c r="E102" s="324">
        <v>240</v>
      </c>
      <c r="F102" s="325">
        <f t="shared" si="6"/>
        <v>12816.000000000002</v>
      </c>
      <c r="G102" s="393" t="s">
        <v>568</v>
      </c>
    </row>
    <row r="103" spans="1:7">
      <c r="A103" s="390"/>
      <c r="B103" s="394" t="s">
        <v>673</v>
      </c>
      <c r="C103" s="322" t="s">
        <v>622</v>
      </c>
      <c r="D103" s="327">
        <v>9.6000000000000014</v>
      </c>
      <c r="E103" s="324">
        <v>240</v>
      </c>
      <c r="F103" s="325">
        <f t="shared" si="6"/>
        <v>2304.0000000000005</v>
      </c>
      <c r="G103" s="393" t="s">
        <v>568</v>
      </c>
    </row>
    <row r="104" spans="1:7">
      <c r="A104" s="390"/>
      <c r="B104" s="394" t="s">
        <v>674</v>
      </c>
      <c r="C104" s="322" t="s">
        <v>75</v>
      </c>
      <c r="D104" s="327">
        <v>4.32</v>
      </c>
      <c r="E104" s="324">
        <v>5996</v>
      </c>
      <c r="F104" s="325">
        <f t="shared" si="6"/>
        <v>25902.720000000001</v>
      </c>
      <c r="G104" s="393" t="s">
        <v>568</v>
      </c>
    </row>
    <row r="105" spans="1:7" ht="16.5" customHeight="1">
      <c r="A105" s="390"/>
      <c r="B105" s="394" t="s">
        <v>657</v>
      </c>
      <c r="C105" s="322" t="s">
        <v>119</v>
      </c>
      <c r="D105" s="327">
        <v>3</v>
      </c>
      <c r="E105" s="324">
        <v>14991</v>
      </c>
      <c r="F105" s="325">
        <f t="shared" si="6"/>
        <v>44973</v>
      </c>
      <c r="G105" s="393" t="s">
        <v>568</v>
      </c>
    </row>
    <row r="106" spans="1:7" ht="21" customHeight="1">
      <c r="A106" s="390"/>
      <c r="B106" s="394" t="s">
        <v>675</v>
      </c>
      <c r="C106" s="322" t="s">
        <v>553</v>
      </c>
      <c r="D106" s="327">
        <v>11</v>
      </c>
      <c r="E106" s="324">
        <v>2998</v>
      </c>
      <c r="F106" s="325">
        <f t="shared" si="6"/>
        <v>32978</v>
      </c>
      <c r="G106" s="393" t="s">
        <v>568</v>
      </c>
    </row>
    <row r="107" spans="1:7">
      <c r="A107" s="390"/>
      <c r="B107" s="394" t="s">
        <v>665</v>
      </c>
      <c r="C107" s="322" t="s">
        <v>119</v>
      </c>
      <c r="D107" s="323">
        <v>1</v>
      </c>
      <c r="E107" s="324">
        <v>7843.55</v>
      </c>
      <c r="F107" s="325">
        <f t="shared" si="6"/>
        <v>7843.55</v>
      </c>
      <c r="G107" s="398" t="s">
        <v>574</v>
      </c>
    </row>
    <row r="108" spans="1:7">
      <c r="A108" s="390"/>
      <c r="B108" s="394" t="s">
        <v>592</v>
      </c>
      <c r="C108" s="322" t="s">
        <v>593</v>
      </c>
      <c r="D108" s="327">
        <v>4</v>
      </c>
      <c r="E108" s="324">
        <v>4997</v>
      </c>
      <c r="F108" s="325">
        <f t="shared" si="6"/>
        <v>19988</v>
      </c>
      <c r="G108" s="393" t="s">
        <v>568</v>
      </c>
    </row>
    <row r="109" spans="1:7">
      <c r="A109" s="390"/>
      <c r="B109" s="321" t="s">
        <v>552</v>
      </c>
      <c r="C109" s="322" t="s">
        <v>553</v>
      </c>
      <c r="D109" s="327">
        <v>9</v>
      </c>
      <c r="E109" s="324">
        <v>2498</v>
      </c>
      <c r="F109" s="325">
        <f t="shared" si="6"/>
        <v>22482</v>
      </c>
      <c r="G109" s="393" t="s">
        <v>568</v>
      </c>
    </row>
    <row r="110" spans="1:7">
      <c r="A110" s="390"/>
      <c r="B110" s="321" t="s">
        <v>204</v>
      </c>
      <c r="C110" s="322" t="s">
        <v>553</v>
      </c>
      <c r="D110" s="327">
        <v>7</v>
      </c>
      <c r="E110" s="324">
        <v>1499</v>
      </c>
      <c r="F110" s="325">
        <f t="shared" si="6"/>
        <v>10493</v>
      </c>
      <c r="G110" s="393" t="s">
        <v>568</v>
      </c>
    </row>
    <row r="111" spans="1:7">
      <c r="A111" s="390"/>
      <c r="B111" s="321" t="s">
        <v>637</v>
      </c>
      <c r="C111" s="322" t="s">
        <v>119</v>
      </c>
      <c r="D111" s="323">
        <v>1</v>
      </c>
      <c r="E111" s="324">
        <v>7843.55</v>
      </c>
      <c r="F111" s="325">
        <f t="shared" si="6"/>
        <v>7843.55</v>
      </c>
      <c r="G111" s="398" t="s">
        <v>574</v>
      </c>
    </row>
    <row r="112" spans="1:7">
      <c r="A112" s="390"/>
      <c r="B112" s="321" t="s">
        <v>554</v>
      </c>
      <c r="C112" s="322" t="s">
        <v>119</v>
      </c>
      <c r="D112" s="323">
        <v>1</v>
      </c>
      <c r="E112" s="324">
        <v>3314.6</v>
      </c>
      <c r="F112" s="325">
        <f t="shared" si="6"/>
        <v>3314.6</v>
      </c>
      <c r="G112" s="398" t="s">
        <v>574</v>
      </c>
    </row>
    <row r="113" spans="1:7">
      <c r="A113" s="390"/>
      <c r="B113" s="326" t="s">
        <v>676</v>
      </c>
      <c r="C113" s="322" t="s">
        <v>119</v>
      </c>
      <c r="D113" s="323">
        <v>1</v>
      </c>
      <c r="E113" s="324">
        <v>34315.550000000003</v>
      </c>
      <c r="F113" s="325">
        <f t="shared" si="6"/>
        <v>34315.550000000003</v>
      </c>
      <c r="G113" s="398" t="s">
        <v>574</v>
      </c>
    </row>
    <row r="114" spans="1:7">
      <c r="A114" s="390"/>
      <c r="B114" s="321" t="s">
        <v>532</v>
      </c>
      <c r="C114" s="322" t="s">
        <v>102</v>
      </c>
      <c r="D114" s="323">
        <v>1</v>
      </c>
      <c r="E114" s="324"/>
      <c r="F114" s="325">
        <f>SUM(F92:F113)</f>
        <v>388168.71358999994</v>
      </c>
      <c r="G114" s="398"/>
    </row>
    <row r="115" spans="1:7">
      <c r="A115" s="390"/>
      <c r="B115" s="321"/>
      <c r="C115" s="322"/>
      <c r="D115" s="323"/>
      <c r="E115" s="396"/>
      <c r="F115" s="325"/>
      <c r="G115" s="396"/>
    </row>
    <row r="116" spans="1:7">
      <c r="A116" s="390"/>
      <c r="B116" s="271"/>
      <c r="C116" s="272"/>
      <c r="D116" s="668" t="s">
        <v>639</v>
      </c>
      <c r="E116" s="669"/>
      <c r="F116" s="673">
        <f>ROUND(F114,0)</f>
        <v>388169</v>
      </c>
      <c r="G116" s="673"/>
    </row>
    <row r="117" spans="1:7">
      <c r="A117" s="390"/>
      <c r="B117" s="273"/>
      <c r="C117" s="274"/>
      <c r="D117" s="670"/>
      <c r="E117" s="671"/>
      <c r="F117" s="674"/>
      <c r="G117" s="674"/>
    </row>
    <row r="118" spans="1:7">
      <c r="A118" s="270" t="s">
        <v>742</v>
      </c>
      <c r="B118" s="662" t="s">
        <v>1366</v>
      </c>
      <c r="C118" s="663"/>
      <c r="D118" s="664" t="s">
        <v>576</v>
      </c>
      <c r="E118" s="665"/>
      <c r="F118" s="399"/>
      <c r="G118" s="400"/>
    </row>
    <row r="119" spans="1:7">
      <c r="A119" s="402"/>
      <c r="B119" s="392" t="s">
        <v>548</v>
      </c>
      <c r="C119" s="392" t="s">
        <v>0</v>
      </c>
      <c r="D119" s="392" t="s">
        <v>549</v>
      </c>
      <c r="E119" s="392" t="s">
        <v>220</v>
      </c>
      <c r="F119" s="392" t="s">
        <v>550</v>
      </c>
      <c r="G119" s="392" t="s">
        <v>551</v>
      </c>
    </row>
    <row r="120" spans="1:7">
      <c r="A120" s="390"/>
      <c r="B120" s="321" t="s">
        <v>631</v>
      </c>
      <c r="C120" s="322" t="s">
        <v>119</v>
      </c>
      <c r="D120" s="323">
        <v>1</v>
      </c>
      <c r="E120" s="324">
        <v>10002</v>
      </c>
      <c r="F120" s="325">
        <f>D120*E120</f>
        <v>10002</v>
      </c>
      <c r="G120" s="393" t="s">
        <v>568</v>
      </c>
    </row>
    <row r="121" spans="1:7">
      <c r="A121" s="390"/>
      <c r="B121" s="394" t="s">
        <v>743</v>
      </c>
      <c r="C121" s="322" t="s">
        <v>119</v>
      </c>
      <c r="D121" s="323">
        <v>1</v>
      </c>
      <c r="E121" s="328">
        <v>149107.85</v>
      </c>
      <c r="F121" s="325">
        <f t="shared" ref="F121:F131" si="7">D121*E121</f>
        <v>149107.85</v>
      </c>
      <c r="G121" s="393" t="s">
        <v>1002</v>
      </c>
    </row>
    <row r="122" spans="1:7">
      <c r="A122" s="390"/>
      <c r="B122" s="394" t="s">
        <v>744</v>
      </c>
      <c r="C122" s="322" t="s">
        <v>276</v>
      </c>
      <c r="D122" s="323">
        <v>4</v>
      </c>
      <c r="E122" s="324">
        <v>9994</v>
      </c>
      <c r="F122" s="325">
        <f t="shared" si="7"/>
        <v>39976</v>
      </c>
      <c r="G122" s="393" t="s">
        <v>568</v>
      </c>
    </row>
    <row r="123" spans="1:7">
      <c r="A123" s="390"/>
      <c r="B123" s="321" t="s">
        <v>745</v>
      </c>
      <c r="C123" s="322" t="s">
        <v>75</v>
      </c>
      <c r="D123" s="327">
        <v>5</v>
      </c>
      <c r="E123" s="324">
        <v>1599</v>
      </c>
      <c r="F123" s="325">
        <f t="shared" si="7"/>
        <v>7995</v>
      </c>
      <c r="G123" s="393" t="s">
        <v>568</v>
      </c>
    </row>
    <row r="124" spans="1:7">
      <c r="A124" s="390"/>
      <c r="B124" s="394" t="s">
        <v>746</v>
      </c>
      <c r="C124" s="322" t="s">
        <v>119</v>
      </c>
      <c r="D124" s="323">
        <v>1</v>
      </c>
      <c r="E124" s="324">
        <v>19988</v>
      </c>
      <c r="F124" s="325">
        <f t="shared" si="7"/>
        <v>19988</v>
      </c>
      <c r="G124" s="393" t="s">
        <v>568</v>
      </c>
    </row>
    <row r="125" spans="1:7" ht="21">
      <c r="A125" s="390"/>
      <c r="B125" s="394" t="s">
        <v>747</v>
      </c>
      <c r="C125" s="322" t="s">
        <v>119</v>
      </c>
      <c r="D125" s="323">
        <v>1</v>
      </c>
      <c r="E125" s="324">
        <v>9994</v>
      </c>
      <c r="F125" s="325">
        <f t="shared" si="7"/>
        <v>9994</v>
      </c>
      <c r="G125" s="393" t="s">
        <v>568</v>
      </c>
    </row>
    <row r="126" spans="1:7">
      <c r="A126" s="390"/>
      <c r="B126" s="394" t="s">
        <v>748</v>
      </c>
      <c r="C126" s="322" t="s">
        <v>119</v>
      </c>
      <c r="D126" s="323">
        <v>1</v>
      </c>
      <c r="E126" s="324">
        <v>2998</v>
      </c>
      <c r="F126" s="325">
        <f t="shared" si="7"/>
        <v>2998</v>
      </c>
      <c r="G126" s="393" t="s">
        <v>568</v>
      </c>
    </row>
    <row r="127" spans="1:7" ht="21">
      <c r="A127" s="390"/>
      <c r="B127" s="394" t="s">
        <v>749</v>
      </c>
      <c r="C127" s="322" t="s">
        <v>553</v>
      </c>
      <c r="D127" s="327">
        <v>18</v>
      </c>
      <c r="E127" s="324">
        <v>2998</v>
      </c>
      <c r="F127" s="325">
        <f t="shared" si="7"/>
        <v>53964</v>
      </c>
      <c r="G127" s="393" t="s">
        <v>568</v>
      </c>
    </row>
    <row r="128" spans="1:7">
      <c r="A128" s="390"/>
      <c r="B128" s="394" t="s">
        <v>552</v>
      </c>
      <c r="C128" s="322" t="s">
        <v>553</v>
      </c>
      <c r="D128" s="327">
        <v>18</v>
      </c>
      <c r="E128" s="324">
        <v>2498</v>
      </c>
      <c r="F128" s="325">
        <f t="shared" si="7"/>
        <v>44964</v>
      </c>
      <c r="G128" s="393" t="s">
        <v>568</v>
      </c>
    </row>
    <row r="129" spans="1:7">
      <c r="A129" s="390"/>
      <c r="B129" s="394" t="s">
        <v>204</v>
      </c>
      <c r="C129" s="322" t="s">
        <v>553</v>
      </c>
      <c r="D129" s="327">
        <v>18</v>
      </c>
      <c r="E129" s="324">
        <v>1499</v>
      </c>
      <c r="F129" s="325">
        <f t="shared" si="7"/>
        <v>26982</v>
      </c>
      <c r="G129" s="393" t="s">
        <v>568</v>
      </c>
    </row>
    <row r="130" spans="1:7">
      <c r="A130" s="390"/>
      <c r="B130" s="394" t="s">
        <v>750</v>
      </c>
      <c r="C130" s="322" t="s">
        <v>119</v>
      </c>
      <c r="D130" s="323">
        <v>1</v>
      </c>
      <c r="E130" s="324">
        <v>4997</v>
      </c>
      <c r="F130" s="325">
        <f t="shared" si="7"/>
        <v>4997</v>
      </c>
      <c r="G130" s="393" t="s">
        <v>568</v>
      </c>
    </row>
    <row r="131" spans="1:7">
      <c r="A131" s="390"/>
      <c r="B131" s="394" t="s">
        <v>751</v>
      </c>
      <c r="C131" s="322" t="s">
        <v>119</v>
      </c>
      <c r="D131" s="323">
        <v>1</v>
      </c>
      <c r="E131" s="433">
        <f>1919.8</f>
        <v>1919.8</v>
      </c>
      <c r="F131" s="434">
        <f t="shared" si="7"/>
        <v>1919.8</v>
      </c>
      <c r="G131" s="435" t="s">
        <v>568</v>
      </c>
    </row>
    <row r="132" spans="1:7">
      <c r="A132" s="390"/>
      <c r="B132" s="321" t="s">
        <v>532</v>
      </c>
      <c r="C132" s="322" t="s">
        <v>119</v>
      </c>
      <c r="D132" s="323">
        <v>1</v>
      </c>
      <c r="E132" s="324"/>
      <c r="F132" s="325">
        <f>SUM(F120:F131)</f>
        <v>372887.64999999997</v>
      </c>
      <c r="G132" s="398"/>
    </row>
    <row r="133" spans="1:7">
      <c r="A133" s="390"/>
      <c r="B133" s="321"/>
      <c r="C133" s="322"/>
      <c r="D133" s="323"/>
      <c r="E133" s="396"/>
      <c r="F133" s="325"/>
      <c r="G133" s="396"/>
    </row>
    <row r="134" spans="1:7">
      <c r="A134" s="390"/>
      <c r="B134" s="271"/>
      <c r="C134" s="272"/>
      <c r="D134" s="668" t="s">
        <v>578</v>
      </c>
      <c r="E134" s="669"/>
      <c r="F134" s="673">
        <f>ROUND(F132,0)</f>
        <v>372888</v>
      </c>
      <c r="G134" s="673"/>
    </row>
    <row r="135" spans="1:7">
      <c r="A135" s="390"/>
      <c r="B135" s="273"/>
      <c r="C135" s="274"/>
      <c r="D135" s="670"/>
      <c r="E135" s="671"/>
      <c r="F135" s="674"/>
      <c r="G135" s="674"/>
    </row>
    <row r="136" spans="1:7">
      <c r="A136" s="270" t="s">
        <v>1295</v>
      </c>
      <c r="B136" s="662" t="s">
        <v>1296</v>
      </c>
      <c r="C136" s="663"/>
      <c r="D136" s="664" t="s">
        <v>569</v>
      </c>
      <c r="E136" s="665"/>
      <c r="F136" s="666"/>
      <c r="G136" s="667"/>
    </row>
    <row r="137" spans="1:7">
      <c r="A137" s="390"/>
      <c r="B137" s="392" t="s">
        <v>548</v>
      </c>
      <c r="C137" s="392" t="s">
        <v>0</v>
      </c>
      <c r="D137" s="392" t="s">
        <v>549</v>
      </c>
      <c r="E137" s="392" t="s">
        <v>220</v>
      </c>
      <c r="F137" s="392" t="s">
        <v>550</v>
      </c>
      <c r="G137" s="392" t="s">
        <v>551</v>
      </c>
    </row>
    <row r="138" spans="1:7">
      <c r="A138" s="390"/>
      <c r="B138" s="321" t="s">
        <v>566</v>
      </c>
      <c r="C138" s="322" t="s">
        <v>150</v>
      </c>
      <c r="D138" s="323">
        <v>5</v>
      </c>
      <c r="E138" s="324">
        <v>18.57</v>
      </c>
      <c r="F138" s="325">
        <f>D138*E138</f>
        <v>92.85</v>
      </c>
      <c r="G138" s="398" t="s">
        <v>574</v>
      </c>
    </row>
    <row r="139" spans="1:7">
      <c r="A139" s="390"/>
      <c r="B139" s="326" t="s">
        <v>724</v>
      </c>
      <c r="C139" s="403" t="s">
        <v>72</v>
      </c>
      <c r="D139" s="327">
        <f>0.35*0.1</f>
        <v>3.4999999999999996E-2</v>
      </c>
      <c r="E139" s="328">
        <v>750</v>
      </c>
      <c r="F139" s="325">
        <f t="shared" ref="F139:F147" si="8">D139*E139</f>
        <v>26.249999999999996</v>
      </c>
      <c r="G139" s="404" t="s">
        <v>568</v>
      </c>
    </row>
    <row r="140" spans="1:7">
      <c r="A140" s="390"/>
      <c r="B140" s="326" t="s">
        <v>241</v>
      </c>
      <c r="C140" s="403" t="s">
        <v>72</v>
      </c>
      <c r="D140" s="327">
        <f>0.1*0.1</f>
        <v>1.0000000000000002E-2</v>
      </c>
      <c r="E140" s="328">
        <v>660</v>
      </c>
      <c r="F140" s="325">
        <f t="shared" si="8"/>
        <v>6.6000000000000014</v>
      </c>
      <c r="G140" s="404" t="s">
        <v>568</v>
      </c>
    </row>
    <row r="141" spans="1:7">
      <c r="A141" s="390"/>
      <c r="B141" s="321" t="s">
        <v>567</v>
      </c>
      <c r="C141" s="322" t="s">
        <v>72</v>
      </c>
      <c r="D141" s="323">
        <v>3.0000000000000001E-3</v>
      </c>
      <c r="E141" s="324">
        <v>2798</v>
      </c>
      <c r="F141" s="325">
        <f t="shared" si="8"/>
        <v>8.3940000000000001</v>
      </c>
      <c r="G141" s="404" t="s">
        <v>568</v>
      </c>
    </row>
    <row r="142" spans="1:7">
      <c r="A142" s="390"/>
      <c r="B142" s="321" t="s">
        <v>236</v>
      </c>
      <c r="C142" s="322" t="s">
        <v>72</v>
      </c>
      <c r="D142" s="323">
        <v>5.0000000000000001E-3</v>
      </c>
      <c r="E142" s="324">
        <v>2150</v>
      </c>
      <c r="F142" s="325">
        <f t="shared" si="8"/>
        <v>10.75</v>
      </c>
      <c r="G142" s="404" t="s">
        <v>568</v>
      </c>
    </row>
    <row r="143" spans="1:7">
      <c r="A143" s="390"/>
      <c r="B143" s="321" t="s">
        <v>552</v>
      </c>
      <c r="C143" s="322" t="s">
        <v>553</v>
      </c>
      <c r="D143" s="323">
        <v>0.05</v>
      </c>
      <c r="E143" s="324">
        <v>2498</v>
      </c>
      <c r="F143" s="325">
        <f t="shared" si="8"/>
        <v>124.9</v>
      </c>
      <c r="G143" s="404" t="s">
        <v>568</v>
      </c>
    </row>
    <row r="144" spans="1:7">
      <c r="A144" s="390"/>
      <c r="B144" s="326" t="s">
        <v>740</v>
      </c>
      <c r="C144" s="403" t="s">
        <v>732</v>
      </c>
      <c r="D144" s="327">
        <v>2E-3</v>
      </c>
      <c r="E144" s="328">
        <f>899</f>
        <v>899</v>
      </c>
      <c r="F144" s="325">
        <f t="shared" si="8"/>
        <v>1.798</v>
      </c>
      <c r="G144" s="404" t="s">
        <v>568</v>
      </c>
    </row>
    <row r="145" spans="1:7">
      <c r="A145" s="390"/>
      <c r="B145" s="326" t="s">
        <v>741</v>
      </c>
      <c r="C145" s="403" t="s">
        <v>732</v>
      </c>
      <c r="D145" s="327">
        <v>2E-3</v>
      </c>
      <c r="E145" s="328">
        <f>500</f>
        <v>500</v>
      </c>
      <c r="F145" s="325">
        <f t="shared" si="8"/>
        <v>1</v>
      </c>
      <c r="G145" s="404" t="s">
        <v>568</v>
      </c>
    </row>
    <row r="146" spans="1:7">
      <c r="A146" s="390"/>
      <c r="B146" s="326" t="s">
        <v>1000</v>
      </c>
      <c r="C146" s="403" t="s">
        <v>732</v>
      </c>
      <c r="D146" s="327">
        <v>2E-3</v>
      </c>
      <c r="E146" s="328">
        <f>400</f>
        <v>400</v>
      </c>
      <c r="F146" s="325">
        <f t="shared" si="8"/>
        <v>0.8</v>
      </c>
      <c r="G146" s="404" t="s">
        <v>568</v>
      </c>
    </row>
    <row r="147" spans="1:7">
      <c r="A147" s="390"/>
      <c r="B147" s="321" t="s">
        <v>554</v>
      </c>
      <c r="C147" s="322" t="s">
        <v>119</v>
      </c>
      <c r="D147" s="323">
        <v>1</v>
      </c>
      <c r="E147" s="324">
        <f>10.15</f>
        <v>10.15</v>
      </c>
      <c r="F147" s="325">
        <f t="shared" si="8"/>
        <v>10.15</v>
      </c>
      <c r="G147" s="398" t="s">
        <v>574</v>
      </c>
    </row>
    <row r="148" spans="1:7">
      <c r="A148" s="390"/>
      <c r="B148" s="321" t="s">
        <v>14</v>
      </c>
      <c r="C148" s="322" t="s">
        <v>11</v>
      </c>
      <c r="D148" s="323">
        <v>1</v>
      </c>
      <c r="E148" s="396"/>
      <c r="F148" s="325">
        <f>SUM(F138:F147)</f>
        <v>283.49200000000002</v>
      </c>
      <c r="G148" s="396"/>
    </row>
    <row r="149" spans="1:7">
      <c r="A149" s="390"/>
      <c r="B149" s="396"/>
      <c r="C149" s="397"/>
      <c r="D149" s="396"/>
      <c r="E149" s="396"/>
      <c r="F149" s="396"/>
      <c r="G149" s="396"/>
    </row>
    <row r="150" spans="1:7">
      <c r="A150" s="390"/>
      <c r="B150" s="668"/>
      <c r="C150" s="669"/>
      <c r="D150" s="672" t="s">
        <v>577</v>
      </c>
      <c r="E150" s="672"/>
      <c r="F150" s="673">
        <f>ROUND(F148,0)</f>
        <v>283</v>
      </c>
      <c r="G150" s="675"/>
    </row>
    <row r="151" spans="1:7">
      <c r="A151" s="390"/>
      <c r="B151" s="670"/>
      <c r="C151" s="671"/>
      <c r="D151" s="672"/>
      <c r="E151" s="672"/>
      <c r="F151" s="674"/>
      <c r="G151" s="675"/>
    </row>
    <row r="152" spans="1:7">
      <c r="A152" s="270" t="s">
        <v>1297</v>
      </c>
      <c r="B152" s="662" t="s">
        <v>570</v>
      </c>
      <c r="C152" s="663"/>
      <c r="D152" s="664" t="s">
        <v>569</v>
      </c>
      <c r="E152" s="665"/>
      <c r="F152" s="666"/>
      <c r="G152" s="667"/>
    </row>
    <row r="153" spans="1:7">
      <c r="A153" s="390"/>
      <c r="B153" s="392" t="s">
        <v>548</v>
      </c>
      <c r="C153" s="392" t="s">
        <v>0</v>
      </c>
      <c r="D153" s="392" t="s">
        <v>549</v>
      </c>
      <c r="E153" s="392" t="s">
        <v>220</v>
      </c>
      <c r="F153" s="392" t="s">
        <v>550</v>
      </c>
      <c r="G153" s="392" t="s">
        <v>551</v>
      </c>
    </row>
    <row r="154" spans="1:7">
      <c r="A154" s="390"/>
      <c r="B154" s="321" t="s">
        <v>571</v>
      </c>
      <c r="C154" s="322" t="s">
        <v>11</v>
      </c>
      <c r="D154" s="323">
        <v>1</v>
      </c>
      <c r="E154" s="324">
        <v>235</v>
      </c>
      <c r="F154" s="325">
        <v>235</v>
      </c>
      <c r="G154" s="398" t="s">
        <v>574</v>
      </c>
    </row>
    <row r="155" spans="1:7">
      <c r="A155" s="390"/>
      <c r="B155" s="321" t="s">
        <v>14</v>
      </c>
      <c r="C155" s="322" t="s">
        <v>11</v>
      </c>
      <c r="D155" s="323">
        <v>1</v>
      </c>
      <c r="E155" s="396"/>
      <c r="F155" s="325">
        <v>235</v>
      </c>
      <c r="G155" s="396"/>
    </row>
    <row r="156" spans="1:7">
      <c r="A156" s="390"/>
      <c r="B156" s="396"/>
      <c r="C156" s="397"/>
      <c r="D156" s="396"/>
      <c r="E156" s="396"/>
      <c r="F156" s="396"/>
      <c r="G156" s="396"/>
    </row>
    <row r="157" spans="1:7">
      <c r="A157" s="390"/>
      <c r="B157" s="668"/>
      <c r="C157" s="669"/>
      <c r="D157" s="672" t="s">
        <v>577</v>
      </c>
      <c r="E157" s="672"/>
      <c r="F157" s="675">
        <v>235</v>
      </c>
      <c r="G157" s="675"/>
    </row>
    <row r="158" spans="1:7">
      <c r="A158" s="390"/>
      <c r="B158" s="670"/>
      <c r="C158" s="671"/>
      <c r="D158" s="672"/>
      <c r="E158" s="672"/>
      <c r="F158" s="675"/>
      <c r="G158" s="675"/>
    </row>
    <row r="159" spans="1:7">
      <c r="A159" s="270" t="s">
        <v>1298</v>
      </c>
      <c r="B159" s="662" t="s">
        <v>1361</v>
      </c>
      <c r="C159" s="663"/>
      <c r="D159" s="664" t="s">
        <v>589</v>
      </c>
      <c r="E159" s="665"/>
      <c r="F159" s="666"/>
      <c r="G159" s="667"/>
    </row>
    <row r="160" spans="1:7">
      <c r="A160" s="390"/>
      <c r="B160" s="392" t="s">
        <v>548</v>
      </c>
      <c r="C160" s="392" t="s">
        <v>0</v>
      </c>
      <c r="D160" s="392" t="s">
        <v>549</v>
      </c>
      <c r="E160" s="392" t="s">
        <v>220</v>
      </c>
      <c r="F160" s="392" t="s">
        <v>550</v>
      </c>
      <c r="G160" s="392" t="s">
        <v>551</v>
      </c>
    </row>
    <row r="161" spans="1:7">
      <c r="A161" s="390"/>
      <c r="B161" s="321" t="s">
        <v>555</v>
      </c>
      <c r="C161" s="322" t="s">
        <v>119</v>
      </c>
      <c r="D161" s="323">
        <v>1</v>
      </c>
      <c r="E161" s="324">
        <v>250</v>
      </c>
      <c r="F161" s="325">
        <f>D161*E161</f>
        <v>250</v>
      </c>
      <c r="G161" s="393" t="s">
        <v>568</v>
      </c>
    </row>
    <row r="162" spans="1:7">
      <c r="A162" s="390"/>
      <c r="B162" s="321" t="s">
        <v>591</v>
      </c>
      <c r="C162" s="322" t="s">
        <v>126</v>
      </c>
      <c r="D162" s="323">
        <v>1</v>
      </c>
      <c r="E162" s="324">
        <v>6348.44</v>
      </c>
      <c r="F162" s="325">
        <f>D162*E162</f>
        <v>6348.44</v>
      </c>
      <c r="G162" s="398" t="s">
        <v>574</v>
      </c>
    </row>
    <row r="163" spans="1:7" ht="21">
      <c r="A163" s="390"/>
      <c r="B163" s="394" t="s">
        <v>1360</v>
      </c>
      <c r="C163" s="322" t="s">
        <v>72</v>
      </c>
      <c r="D163" s="323">
        <v>0.1</v>
      </c>
      <c r="E163" s="324">
        <v>550</v>
      </c>
      <c r="F163" s="325">
        <f>D163*E163</f>
        <v>55</v>
      </c>
      <c r="G163" s="393" t="s">
        <v>568</v>
      </c>
    </row>
    <row r="164" spans="1:7">
      <c r="A164" s="390"/>
      <c r="B164" s="321" t="s">
        <v>592</v>
      </c>
      <c r="C164" s="322" t="s">
        <v>593</v>
      </c>
      <c r="D164" s="323">
        <v>1</v>
      </c>
      <c r="E164" s="324">
        <v>999</v>
      </c>
      <c r="F164" s="325">
        <f t="shared" ref="F164:F167" si="9">D164*E164</f>
        <v>999</v>
      </c>
      <c r="G164" s="393" t="s">
        <v>568</v>
      </c>
    </row>
    <row r="165" spans="1:7">
      <c r="A165" s="390"/>
      <c r="B165" s="321" t="s">
        <v>552</v>
      </c>
      <c r="C165" s="322" t="s">
        <v>553</v>
      </c>
      <c r="D165" s="323">
        <v>0.5</v>
      </c>
      <c r="E165" s="324">
        <v>2498</v>
      </c>
      <c r="F165" s="325">
        <f t="shared" si="9"/>
        <v>1249</v>
      </c>
      <c r="G165" s="393" t="s">
        <v>568</v>
      </c>
    </row>
    <row r="166" spans="1:7">
      <c r="A166" s="390"/>
      <c r="B166" s="321" t="s">
        <v>204</v>
      </c>
      <c r="C166" s="322" t="s">
        <v>553</v>
      </c>
      <c r="D166" s="323">
        <v>0.5</v>
      </c>
      <c r="E166" s="324">
        <v>1499</v>
      </c>
      <c r="F166" s="325">
        <f t="shared" si="9"/>
        <v>749.5</v>
      </c>
      <c r="G166" s="393" t="s">
        <v>568</v>
      </c>
    </row>
    <row r="167" spans="1:7">
      <c r="A167" s="390"/>
      <c r="B167" s="321" t="s">
        <v>594</v>
      </c>
      <c r="C167" s="322" t="s">
        <v>119</v>
      </c>
      <c r="D167" s="323">
        <v>1</v>
      </c>
      <c r="E167" s="324">
        <v>59.06</v>
      </c>
      <c r="F167" s="325">
        <f t="shared" si="9"/>
        <v>59.06</v>
      </c>
      <c r="G167" s="398" t="s">
        <v>574</v>
      </c>
    </row>
    <row r="168" spans="1:7">
      <c r="A168" s="390"/>
      <c r="B168" s="321" t="s">
        <v>532</v>
      </c>
      <c r="C168" s="322" t="s">
        <v>126</v>
      </c>
      <c r="D168" s="323">
        <v>1</v>
      </c>
      <c r="E168" s="324"/>
      <c r="F168" s="325">
        <f>SUM(F161:F167)</f>
        <v>9709.9999999999982</v>
      </c>
      <c r="G168" s="398"/>
    </row>
    <row r="169" spans="1:7">
      <c r="A169" s="390"/>
      <c r="B169" s="396"/>
      <c r="C169" s="397"/>
      <c r="D169" s="396"/>
      <c r="E169" s="396"/>
      <c r="F169" s="396"/>
      <c r="G169" s="396"/>
    </row>
    <row r="170" spans="1:7">
      <c r="A170" s="390"/>
      <c r="B170" s="668"/>
      <c r="C170" s="669"/>
      <c r="D170" s="672" t="s">
        <v>590</v>
      </c>
      <c r="E170" s="672"/>
      <c r="F170" s="673">
        <f>ROUND(F168,0)</f>
        <v>9710</v>
      </c>
      <c r="G170" s="675"/>
    </row>
    <row r="171" spans="1:7">
      <c r="A171" s="390"/>
      <c r="B171" s="670"/>
      <c r="C171" s="671"/>
      <c r="D171" s="672"/>
      <c r="E171" s="672"/>
      <c r="F171" s="674"/>
      <c r="G171" s="675"/>
    </row>
    <row r="172" spans="1:7" ht="21.75" customHeight="1">
      <c r="A172" s="270" t="s">
        <v>1299</v>
      </c>
      <c r="B172" s="662" t="s">
        <v>692</v>
      </c>
      <c r="C172" s="663"/>
      <c r="D172" s="664" t="s">
        <v>677</v>
      </c>
      <c r="E172" s="665"/>
      <c r="F172" s="399"/>
      <c r="G172" s="400"/>
    </row>
    <row r="173" spans="1:7" ht="31.5">
      <c r="A173" s="390"/>
      <c r="B173" s="394" t="s">
        <v>693</v>
      </c>
      <c r="C173" s="322" t="s">
        <v>115</v>
      </c>
      <c r="D173" s="323">
        <v>1</v>
      </c>
      <c r="E173" s="324">
        <v>7406.25</v>
      </c>
      <c r="F173" s="325">
        <f>D173*E173</f>
        <v>7406.25</v>
      </c>
      <c r="G173" s="398" t="s">
        <v>574</v>
      </c>
    </row>
    <row r="174" spans="1:7">
      <c r="A174" s="390"/>
      <c r="B174" s="394" t="s">
        <v>679</v>
      </c>
      <c r="C174" s="322" t="s">
        <v>72</v>
      </c>
      <c r="D174" s="323">
        <v>0.5</v>
      </c>
      <c r="E174" s="324">
        <v>420</v>
      </c>
      <c r="F174" s="325">
        <f t="shared" ref="F174:F177" si="10">D174*E174</f>
        <v>210</v>
      </c>
      <c r="G174" s="393" t="s">
        <v>568</v>
      </c>
    </row>
    <row r="175" spans="1:7">
      <c r="A175" s="390"/>
      <c r="B175" s="394" t="s">
        <v>680</v>
      </c>
      <c r="C175" s="322" t="s">
        <v>126</v>
      </c>
      <c r="D175" s="323">
        <v>3</v>
      </c>
      <c r="E175" s="324">
        <v>110</v>
      </c>
      <c r="F175" s="325">
        <f t="shared" si="10"/>
        <v>330</v>
      </c>
      <c r="G175" s="393" t="s">
        <v>568</v>
      </c>
    </row>
    <row r="176" spans="1:7">
      <c r="A176" s="390"/>
      <c r="B176" s="321" t="s">
        <v>681</v>
      </c>
      <c r="C176" s="322" t="s">
        <v>553</v>
      </c>
      <c r="D176" s="323">
        <v>0.05</v>
      </c>
      <c r="E176" s="324">
        <v>1999</v>
      </c>
      <c r="F176" s="325">
        <f t="shared" si="10"/>
        <v>99.95</v>
      </c>
      <c r="G176" s="393" t="s">
        <v>568</v>
      </c>
    </row>
    <row r="177" spans="1:7">
      <c r="A177" s="390"/>
      <c r="B177" s="394" t="s">
        <v>682</v>
      </c>
      <c r="C177" s="322" t="s">
        <v>119</v>
      </c>
      <c r="D177" s="323">
        <v>1</v>
      </c>
      <c r="E177" s="324">
        <v>199.05</v>
      </c>
      <c r="F177" s="325">
        <f t="shared" si="10"/>
        <v>199.05</v>
      </c>
      <c r="G177" s="393" t="s">
        <v>568</v>
      </c>
    </row>
    <row r="178" spans="1:7">
      <c r="A178" s="390"/>
      <c r="B178" s="321" t="s">
        <v>532</v>
      </c>
      <c r="C178" s="322" t="s">
        <v>115</v>
      </c>
      <c r="D178" s="323">
        <v>1</v>
      </c>
      <c r="E178" s="324"/>
      <c r="F178" s="325">
        <f>SUM(F173:F177)</f>
        <v>8245.25</v>
      </c>
      <c r="G178" s="393"/>
    </row>
    <row r="179" spans="1:7" ht="21" customHeight="1">
      <c r="A179" s="390"/>
      <c r="B179" s="321"/>
      <c r="C179" s="322"/>
      <c r="D179" s="323"/>
      <c r="E179" s="396"/>
      <c r="F179" s="325"/>
      <c r="G179" s="396"/>
    </row>
    <row r="180" spans="1:7">
      <c r="A180" s="390"/>
      <c r="B180" s="271"/>
      <c r="C180" s="272"/>
      <c r="D180" s="668" t="s">
        <v>678</v>
      </c>
      <c r="E180" s="669"/>
      <c r="F180" s="673">
        <f>ROUND(F178,0)</f>
        <v>8245</v>
      </c>
      <c r="G180" s="673"/>
    </row>
    <row r="181" spans="1:7">
      <c r="A181" s="390"/>
      <c r="B181" s="273"/>
      <c r="C181" s="274"/>
      <c r="D181" s="670"/>
      <c r="E181" s="671"/>
      <c r="F181" s="674"/>
      <c r="G181" s="674"/>
    </row>
    <row r="182" spans="1:7">
      <c r="A182" s="270" t="s">
        <v>1300</v>
      </c>
      <c r="B182" s="662" t="s">
        <v>613</v>
      </c>
      <c r="C182" s="663"/>
      <c r="D182" s="664" t="s">
        <v>611</v>
      </c>
      <c r="E182" s="665"/>
      <c r="F182" s="666"/>
      <c r="G182" s="667"/>
    </row>
    <row r="183" spans="1:7">
      <c r="A183" s="390"/>
      <c r="B183" s="392" t="s">
        <v>548</v>
      </c>
      <c r="C183" s="392" t="s">
        <v>0</v>
      </c>
      <c r="D183" s="392" t="s">
        <v>549</v>
      </c>
      <c r="E183" s="392" t="s">
        <v>220</v>
      </c>
      <c r="F183" s="392" t="s">
        <v>550</v>
      </c>
      <c r="G183" s="392" t="s">
        <v>551</v>
      </c>
    </row>
    <row r="184" spans="1:7">
      <c r="A184" s="390"/>
      <c r="B184" s="321" t="s">
        <v>596</v>
      </c>
      <c r="C184" s="322" t="s">
        <v>102</v>
      </c>
      <c r="D184" s="323">
        <v>1</v>
      </c>
      <c r="E184" s="324">
        <v>13726.22</v>
      </c>
      <c r="F184" s="325">
        <v>13726.22</v>
      </c>
      <c r="G184" s="398" t="s">
        <v>574</v>
      </c>
    </row>
    <row r="185" spans="1:7">
      <c r="A185" s="390"/>
      <c r="B185" s="321" t="s">
        <v>14</v>
      </c>
      <c r="C185" s="322" t="s">
        <v>1306</v>
      </c>
      <c r="D185" s="323">
        <v>1</v>
      </c>
      <c r="E185" s="396"/>
      <c r="F185" s="325">
        <v>13726.22</v>
      </c>
      <c r="G185" s="396"/>
    </row>
    <row r="186" spans="1:7">
      <c r="A186" s="390"/>
      <c r="B186" s="396"/>
      <c r="C186" s="397"/>
      <c r="D186" s="396"/>
      <c r="E186" s="396"/>
      <c r="F186" s="396"/>
      <c r="G186" s="396"/>
    </row>
    <row r="187" spans="1:7">
      <c r="A187" s="390"/>
      <c r="B187" s="668"/>
      <c r="C187" s="669"/>
      <c r="D187" s="672" t="s">
        <v>612</v>
      </c>
      <c r="E187" s="672"/>
      <c r="F187" s="675">
        <v>13726</v>
      </c>
      <c r="G187" s="675"/>
    </row>
    <row r="188" spans="1:7">
      <c r="A188" s="390"/>
      <c r="B188" s="670"/>
      <c r="C188" s="671"/>
      <c r="D188" s="672"/>
      <c r="E188" s="672"/>
      <c r="F188" s="675"/>
      <c r="G188" s="675"/>
    </row>
    <row r="189" spans="1:7">
      <c r="A189" s="270" t="s">
        <v>1301</v>
      </c>
      <c r="B189" s="662" t="s">
        <v>614</v>
      </c>
      <c r="C189" s="663"/>
      <c r="D189" s="664" t="s">
        <v>611</v>
      </c>
      <c r="E189" s="665"/>
      <c r="F189" s="666"/>
      <c r="G189" s="667"/>
    </row>
    <row r="190" spans="1:7" ht="16.5" customHeight="1">
      <c r="A190" s="390"/>
      <c r="B190" s="392" t="s">
        <v>548</v>
      </c>
      <c r="C190" s="392" t="s">
        <v>0</v>
      </c>
      <c r="D190" s="392" t="s">
        <v>549</v>
      </c>
      <c r="E190" s="392" t="s">
        <v>220</v>
      </c>
      <c r="F190" s="392" t="s">
        <v>550</v>
      </c>
      <c r="G190" s="392" t="s">
        <v>551</v>
      </c>
    </row>
    <row r="191" spans="1:7" ht="21" customHeight="1">
      <c r="A191" s="390"/>
      <c r="B191" s="321" t="s">
        <v>597</v>
      </c>
      <c r="C191" s="322" t="s">
        <v>102</v>
      </c>
      <c r="D191" s="323">
        <v>1</v>
      </c>
      <c r="E191" s="324">
        <v>12647.73</v>
      </c>
      <c r="F191" s="325">
        <v>12647.73</v>
      </c>
      <c r="G191" s="398" t="s">
        <v>574</v>
      </c>
    </row>
    <row r="192" spans="1:7">
      <c r="A192" s="390"/>
      <c r="B192" s="321" t="s">
        <v>14</v>
      </c>
      <c r="C192" s="322" t="s">
        <v>1305</v>
      </c>
      <c r="D192" s="323">
        <v>1</v>
      </c>
      <c r="E192" s="396"/>
      <c r="F192" s="325">
        <v>12647.73</v>
      </c>
      <c r="G192" s="396"/>
    </row>
    <row r="193" spans="1:7">
      <c r="A193" s="390"/>
      <c r="B193" s="396"/>
      <c r="C193" s="397"/>
      <c r="D193" s="396"/>
      <c r="E193" s="396"/>
      <c r="F193" s="396"/>
      <c r="G193" s="396"/>
    </row>
    <row r="194" spans="1:7">
      <c r="A194" s="390"/>
      <c r="B194" s="668"/>
      <c r="C194" s="669"/>
      <c r="D194" s="672" t="s">
        <v>612</v>
      </c>
      <c r="E194" s="672"/>
      <c r="F194" s="675">
        <v>12648</v>
      </c>
      <c r="G194" s="675"/>
    </row>
    <row r="195" spans="1:7">
      <c r="A195" s="390"/>
      <c r="B195" s="670"/>
      <c r="C195" s="671"/>
      <c r="D195" s="672"/>
      <c r="E195" s="672"/>
      <c r="F195" s="675"/>
      <c r="G195" s="675"/>
    </row>
    <row r="196" spans="1:7">
      <c r="A196" s="270" t="s">
        <v>1302</v>
      </c>
      <c r="B196" s="662" t="s">
        <v>615</v>
      </c>
      <c r="C196" s="663"/>
      <c r="D196" s="664" t="s">
        <v>1304</v>
      </c>
      <c r="E196" s="665"/>
      <c r="F196" s="666"/>
      <c r="G196" s="667"/>
    </row>
    <row r="197" spans="1:7">
      <c r="A197" s="390"/>
      <c r="B197" s="392" t="s">
        <v>548</v>
      </c>
      <c r="C197" s="392" t="s">
        <v>0</v>
      </c>
      <c r="D197" s="392" t="s">
        <v>549</v>
      </c>
      <c r="E197" s="392" t="s">
        <v>220</v>
      </c>
      <c r="F197" s="392" t="s">
        <v>550</v>
      </c>
      <c r="G197" s="392" t="s">
        <v>551</v>
      </c>
    </row>
    <row r="198" spans="1:7">
      <c r="A198" s="390"/>
      <c r="B198" s="321" t="s">
        <v>616</v>
      </c>
      <c r="C198" s="322" t="s">
        <v>617</v>
      </c>
      <c r="D198" s="323">
        <v>1</v>
      </c>
      <c r="E198" s="324">
        <v>12647.73</v>
      </c>
      <c r="F198" s="325">
        <v>12647.73</v>
      </c>
      <c r="G198" s="398" t="s">
        <v>574</v>
      </c>
    </row>
    <row r="199" spans="1:7">
      <c r="A199" s="390"/>
      <c r="B199" s="321" t="s">
        <v>14</v>
      </c>
      <c r="C199" s="322" t="s">
        <v>1305</v>
      </c>
      <c r="D199" s="323">
        <v>1</v>
      </c>
      <c r="E199" s="396" t="s">
        <v>946</v>
      </c>
      <c r="F199" s="325">
        <v>12647.73</v>
      </c>
      <c r="G199" s="396"/>
    </row>
    <row r="200" spans="1:7">
      <c r="A200" s="390"/>
      <c r="B200" s="396"/>
      <c r="C200" s="397"/>
      <c r="D200" s="396"/>
      <c r="E200" s="396"/>
      <c r="F200" s="396"/>
      <c r="G200" s="396"/>
    </row>
    <row r="201" spans="1:7">
      <c r="A201" s="390"/>
      <c r="B201" s="668"/>
      <c r="C201" s="669"/>
      <c r="D201" s="672" t="s">
        <v>612</v>
      </c>
      <c r="E201" s="672"/>
      <c r="F201" s="675">
        <f>F199</f>
        <v>12647.73</v>
      </c>
      <c r="G201" s="675"/>
    </row>
    <row r="202" spans="1:7">
      <c r="A202" s="390"/>
      <c r="B202" s="670"/>
      <c r="C202" s="671"/>
      <c r="D202" s="672"/>
      <c r="E202" s="672"/>
      <c r="F202" s="675"/>
      <c r="G202" s="675"/>
    </row>
    <row r="203" spans="1:7">
      <c r="A203" s="270" t="s">
        <v>1303</v>
      </c>
      <c r="B203" s="662" t="s">
        <v>620</v>
      </c>
      <c r="C203" s="663"/>
      <c r="D203" s="664" t="s">
        <v>618</v>
      </c>
      <c r="E203" s="665"/>
      <c r="F203" s="666"/>
      <c r="G203" s="667"/>
    </row>
    <row r="204" spans="1:7">
      <c r="A204" s="390"/>
      <c r="B204" s="392" t="s">
        <v>548</v>
      </c>
      <c r="C204" s="392" t="s">
        <v>0</v>
      </c>
      <c r="D204" s="392" t="s">
        <v>549</v>
      </c>
      <c r="E204" s="392" t="s">
        <v>220</v>
      </c>
      <c r="F204" s="392" t="s">
        <v>550</v>
      </c>
      <c r="G204" s="392" t="s">
        <v>551</v>
      </c>
    </row>
    <row r="205" spans="1:7">
      <c r="A205" s="390"/>
      <c r="B205" s="321" t="s">
        <v>1362</v>
      </c>
      <c r="C205" s="322" t="s">
        <v>622</v>
      </c>
      <c r="D205" s="323">
        <v>7.5</v>
      </c>
      <c r="E205" s="324">
        <v>35</v>
      </c>
      <c r="F205" s="325">
        <f>D205*E205</f>
        <v>262.5</v>
      </c>
      <c r="G205" s="393" t="s">
        <v>568</v>
      </c>
    </row>
    <row r="206" spans="1:7">
      <c r="A206" s="390"/>
      <c r="B206" s="321" t="s">
        <v>623</v>
      </c>
      <c r="C206" s="322" t="s">
        <v>622</v>
      </c>
      <c r="D206" s="323">
        <v>7.5</v>
      </c>
      <c r="E206" s="324">
        <v>151.97</v>
      </c>
      <c r="F206" s="325">
        <f t="shared" ref="F206:F212" si="11">D206*E206</f>
        <v>1139.7750000000001</v>
      </c>
      <c r="G206" s="398" t="s">
        <v>574</v>
      </c>
    </row>
    <row r="207" spans="1:7">
      <c r="A207" s="390"/>
      <c r="B207" s="321" t="s">
        <v>624</v>
      </c>
      <c r="C207" s="322" t="s">
        <v>625</v>
      </c>
      <c r="D207" s="323">
        <v>1</v>
      </c>
      <c r="E207" s="324">
        <v>90</v>
      </c>
      <c r="F207" s="325">
        <f t="shared" si="11"/>
        <v>90</v>
      </c>
      <c r="G207" s="393" t="s">
        <v>568</v>
      </c>
    </row>
    <row r="208" spans="1:7" ht="21">
      <c r="A208" s="390"/>
      <c r="B208" s="394" t="s">
        <v>649</v>
      </c>
      <c r="C208" s="322" t="s">
        <v>625</v>
      </c>
      <c r="D208" s="323">
        <v>1</v>
      </c>
      <c r="E208" s="324">
        <v>100</v>
      </c>
      <c r="F208" s="325">
        <f t="shared" si="11"/>
        <v>100</v>
      </c>
      <c r="G208" s="393" t="s">
        <v>568</v>
      </c>
    </row>
    <row r="209" spans="1:7">
      <c r="A209" s="390"/>
      <c r="B209" s="321" t="s">
        <v>626</v>
      </c>
      <c r="C209" s="322" t="s">
        <v>627</v>
      </c>
      <c r="D209" s="323">
        <v>0.03</v>
      </c>
      <c r="E209" s="324">
        <v>2798</v>
      </c>
      <c r="F209" s="325">
        <f t="shared" si="11"/>
        <v>83.94</v>
      </c>
      <c r="G209" s="393" t="s">
        <v>568</v>
      </c>
    </row>
    <row r="210" spans="1:7">
      <c r="A210" s="390"/>
      <c r="B210" s="321" t="s">
        <v>552</v>
      </c>
      <c r="C210" s="322" t="s">
        <v>553</v>
      </c>
      <c r="D210" s="323">
        <v>0.1</v>
      </c>
      <c r="E210" s="324">
        <v>2498</v>
      </c>
      <c r="F210" s="325">
        <f t="shared" si="11"/>
        <v>249.8</v>
      </c>
      <c r="G210" s="393" t="s">
        <v>568</v>
      </c>
    </row>
    <row r="211" spans="1:7">
      <c r="A211" s="390"/>
      <c r="B211" s="321" t="s">
        <v>554</v>
      </c>
      <c r="C211" s="322" t="s">
        <v>119</v>
      </c>
      <c r="D211" s="323">
        <v>1</v>
      </c>
      <c r="E211" s="324">
        <v>5.87</v>
      </c>
      <c r="F211" s="325">
        <f t="shared" si="11"/>
        <v>5.87</v>
      </c>
      <c r="G211" s="398" t="s">
        <v>574</v>
      </c>
    </row>
    <row r="212" spans="1:7">
      <c r="A212" s="390"/>
      <c r="B212" s="321" t="s">
        <v>594</v>
      </c>
      <c r="C212" s="322" t="s">
        <v>119</v>
      </c>
      <c r="D212" s="323">
        <v>1</v>
      </c>
      <c r="E212" s="324">
        <v>7.49</v>
      </c>
      <c r="F212" s="325">
        <f t="shared" si="11"/>
        <v>7.49</v>
      </c>
      <c r="G212" s="398" t="s">
        <v>574</v>
      </c>
    </row>
    <row r="213" spans="1:7">
      <c r="A213" s="390"/>
      <c r="B213" s="321" t="s">
        <v>532</v>
      </c>
      <c r="C213" s="322" t="s">
        <v>75</v>
      </c>
      <c r="D213" s="323">
        <v>1</v>
      </c>
      <c r="E213" s="396"/>
      <c r="F213" s="325">
        <f>SUM(F205:F212)</f>
        <v>1939.375</v>
      </c>
      <c r="G213" s="396"/>
    </row>
    <row r="214" spans="1:7">
      <c r="A214" s="390"/>
      <c r="B214" s="396"/>
      <c r="C214" s="397"/>
      <c r="D214" s="396"/>
      <c r="E214" s="396"/>
      <c r="F214" s="396"/>
      <c r="G214" s="396"/>
    </row>
    <row r="215" spans="1:7">
      <c r="A215" s="390"/>
      <c r="B215" s="668"/>
      <c r="C215" s="669"/>
      <c r="D215" s="672" t="s">
        <v>619</v>
      </c>
      <c r="E215" s="672"/>
      <c r="F215" s="673">
        <f>ROUND(F213,0)</f>
        <v>1939</v>
      </c>
      <c r="G215" s="675"/>
    </row>
    <row r="216" spans="1:7">
      <c r="A216" s="390"/>
      <c r="B216" s="670"/>
      <c r="C216" s="671"/>
      <c r="D216" s="672"/>
      <c r="E216" s="672"/>
      <c r="F216" s="674"/>
      <c r="G216" s="675"/>
    </row>
    <row r="217" spans="1:7">
      <c r="A217" s="270" t="s">
        <v>1307</v>
      </c>
      <c r="B217" s="662" t="s">
        <v>628</v>
      </c>
      <c r="C217" s="663"/>
      <c r="D217" s="664" t="s">
        <v>618</v>
      </c>
      <c r="E217" s="665"/>
      <c r="F217" s="666"/>
      <c r="G217" s="667"/>
    </row>
    <row r="218" spans="1:7">
      <c r="A218" s="390"/>
      <c r="B218" s="392" t="s">
        <v>548</v>
      </c>
      <c r="C218" s="392" t="s">
        <v>0</v>
      </c>
      <c r="D218" s="392" t="s">
        <v>549</v>
      </c>
      <c r="E218" s="392" t="s">
        <v>220</v>
      </c>
      <c r="F218" s="392" t="s">
        <v>550</v>
      </c>
      <c r="G218" s="392" t="s">
        <v>551</v>
      </c>
    </row>
    <row r="219" spans="1:7">
      <c r="A219" s="390"/>
      <c r="B219" s="321" t="s">
        <v>621</v>
      </c>
      <c r="C219" s="322" t="s">
        <v>622</v>
      </c>
      <c r="D219" s="323">
        <v>3</v>
      </c>
      <c r="E219" s="324">
        <v>35</v>
      </c>
      <c r="F219" s="325">
        <f>D219*E219</f>
        <v>105</v>
      </c>
      <c r="G219" s="393" t="s">
        <v>568</v>
      </c>
    </row>
    <row r="220" spans="1:7">
      <c r="A220" s="390"/>
      <c r="B220" s="321" t="s">
        <v>623</v>
      </c>
      <c r="C220" s="322" t="s">
        <v>622</v>
      </c>
      <c r="D220" s="323">
        <v>12</v>
      </c>
      <c r="E220" s="324">
        <v>151.97</v>
      </c>
      <c r="F220" s="325">
        <f t="shared" ref="F220:F226" si="12">D220*E220</f>
        <v>1823.6399999999999</v>
      </c>
      <c r="G220" s="398" t="s">
        <v>574</v>
      </c>
    </row>
    <row r="221" spans="1:7">
      <c r="A221" s="390"/>
      <c r="B221" s="321" t="s">
        <v>624</v>
      </c>
      <c r="C221" s="322" t="s">
        <v>625</v>
      </c>
      <c r="D221" s="323">
        <v>1</v>
      </c>
      <c r="E221" s="324">
        <v>90</v>
      </c>
      <c r="F221" s="325">
        <f t="shared" si="12"/>
        <v>90</v>
      </c>
      <c r="G221" s="393" t="s">
        <v>568</v>
      </c>
    </row>
    <row r="222" spans="1:7" ht="21">
      <c r="A222" s="390"/>
      <c r="B222" s="394" t="s">
        <v>650</v>
      </c>
      <c r="C222" s="322" t="s">
        <v>625</v>
      </c>
      <c r="D222" s="323">
        <v>1</v>
      </c>
      <c r="E222" s="324">
        <v>100</v>
      </c>
      <c r="F222" s="325">
        <f t="shared" si="12"/>
        <v>100</v>
      </c>
      <c r="G222" s="393" t="s">
        <v>568</v>
      </c>
    </row>
    <row r="223" spans="1:7">
      <c r="A223" s="390"/>
      <c r="B223" s="321" t="s">
        <v>626</v>
      </c>
      <c r="C223" s="322" t="s">
        <v>627</v>
      </c>
      <c r="D223" s="323">
        <v>0.03</v>
      </c>
      <c r="E223" s="324">
        <v>2798</v>
      </c>
      <c r="F223" s="325">
        <f t="shared" si="12"/>
        <v>83.94</v>
      </c>
      <c r="G223" s="393" t="s">
        <v>568</v>
      </c>
    </row>
    <row r="224" spans="1:7">
      <c r="A224" s="390"/>
      <c r="B224" s="321" t="s">
        <v>552</v>
      </c>
      <c r="C224" s="322" t="s">
        <v>553</v>
      </c>
      <c r="D224" s="323">
        <v>0.1</v>
      </c>
      <c r="E224" s="324">
        <v>2498</v>
      </c>
      <c r="F224" s="325">
        <f t="shared" si="12"/>
        <v>249.8</v>
      </c>
      <c r="G224" s="393" t="s">
        <v>568</v>
      </c>
    </row>
    <row r="225" spans="1:7">
      <c r="A225" s="390"/>
      <c r="B225" s="321" t="s">
        <v>554</v>
      </c>
      <c r="C225" s="322" t="s">
        <v>119</v>
      </c>
      <c r="D225" s="323">
        <v>1</v>
      </c>
      <c r="E225" s="324">
        <v>4.8899999999999997</v>
      </c>
      <c r="F225" s="325">
        <f t="shared" si="12"/>
        <v>4.8899999999999997</v>
      </c>
      <c r="G225" s="398" t="s">
        <v>574</v>
      </c>
    </row>
    <row r="226" spans="1:7">
      <c r="A226" s="390"/>
      <c r="B226" s="321" t="s">
        <v>594</v>
      </c>
      <c r="C226" s="322" t="s">
        <v>119</v>
      </c>
      <c r="D226" s="323">
        <v>1</v>
      </c>
      <c r="E226" s="324">
        <v>4.1100000000000003</v>
      </c>
      <c r="F226" s="325">
        <f t="shared" si="12"/>
        <v>4.1100000000000003</v>
      </c>
      <c r="G226" s="398" t="s">
        <v>574</v>
      </c>
    </row>
    <row r="227" spans="1:7">
      <c r="A227" s="390"/>
      <c r="B227" s="321" t="s">
        <v>532</v>
      </c>
      <c r="C227" s="322" t="s">
        <v>75</v>
      </c>
      <c r="D227" s="323">
        <v>1</v>
      </c>
      <c r="E227" s="396"/>
      <c r="F227" s="325">
        <f>SUM(F219:F226)</f>
        <v>2461.38</v>
      </c>
      <c r="G227" s="396"/>
    </row>
    <row r="228" spans="1:7">
      <c r="A228" s="390"/>
      <c r="B228" s="396"/>
      <c r="C228" s="397"/>
      <c r="D228" s="396"/>
      <c r="E228" s="396"/>
      <c r="F228" s="396"/>
      <c r="G228" s="396"/>
    </row>
    <row r="229" spans="1:7">
      <c r="A229" s="390"/>
      <c r="B229" s="668"/>
      <c r="C229" s="669"/>
      <c r="D229" s="672" t="s">
        <v>619</v>
      </c>
      <c r="E229" s="672"/>
      <c r="F229" s="673">
        <f>ROUND(F227,0)</f>
        <v>2461</v>
      </c>
      <c r="G229" s="675"/>
    </row>
    <row r="230" spans="1:7">
      <c r="A230" s="390"/>
      <c r="B230" s="670"/>
      <c r="C230" s="671"/>
      <c r="D230" s="672"/>
      <c r="E230" s="672"/>
      <c r="F230" s="674"/>
      <c r="G230" s="675"/>
    </row>
    <row r="231" spans="1:7">
      <c r="A231" s="270" t="s">
        <v>1308</v>
      </c>
      <c r="B231" s="662" t="s">
        <v>629</v>
      </c>
      <c r="C231" s="663"/>
      <c r="D231" s="664" t="s">
        <v>576</v>
      </c>
      <c r="E231" s="665"/>
      <c r="F231" s="666"/>
      <c r="G231" s="667"/>
    </row>
    <row r="232" spans="1:7">
      <c r="A232" s="390"/>
      <c r="B232" s="392" t="s">
        <v>548</v>
      </c>
      <c r="C232" s="392" t="s">
        <v>0</v>
      </c>
      <c r="D232" s="392" t="s">
        <v>549</v>
      </c>
      <c r="E232" s="392" t="s">
        <v>220</v>
      </c>
      <c r="F232" s="392" t="s">
        <v>550</v>
      </c>
      <c r="G232" s="392" t="s">
        <v>551</v>
      </c>
    </row>
    <row r="233" spans="1:7">
      <c r="A233" s="390"/>
      <c r="B233" s="321" t="s">
        <v>631</v>
      </c>
      <c r="C233" s="322" t="s">
        <v>119</v>
      </c>
      <c r="D233" s="323">
        <v>1</v>
      </c>
      <c r="E233" s="324">
        <v>10002</v>
      </c>
      <c r="F233" s="325">
        <f>D233*E233</f>
        <v>10002</v>
      </c>
      <c r="G233" s="393" t="s">
        <v>568</v>
      </c>
    </row>
    <row r="234" spans="1:7">
      <c r="A234" s="390"/>
      <c r="B234" s="321" t="s">
        <v>632</v>
      </c>
      <c r="C234" s="322" t="s">
        <v>625</v>
      </c>
      <c r="D234" s="323">
        <v>3.2</v>
      </c>
      <c r="E234" s="324">
        <v>11642.78</v>
      </c>
      <c r="F234" s="325">
        <f t="shared" ref="F234:F242" si="13">D234*E234</f>
        <v>37256.896000000001</v>
      </c>
      <c r="G234" s="398" t="s">
        <v>574</v>
      </c>
    </row>
    <row r="235" spans="1:7">
      <c r="A235" s="390"/>
      <c r="B235" s="321" t="s">
        <v>633</v>
      </c>
      <c r="C235" s="322" t="s">
        <v>625</v>
      </c>
      <c r="D235" s="323">
        <v>3.2</v>
      </c>
      <c r="E235" s="324">
        <v>46571.11</v>
      </c>
      <c r="F235" s="325">
        <f t="shared" si="13"/>
        <v>149027.552</v>
      </c>
      <c r="G235" s="398" t="s">
        <v>574</v>
      </c>
    </row>
    <row r="236" spans="1:7">
      <c r="A236" s="390"/>
      <c r="B236" s="321" t="s">
        <v>634</v>
      </c>
      <c r="C236" s="322" t="s">
        <v>625</v>
      </c>
      <c r="D236" s="323">
        <v>3.2</v>
      </c>
      <c r="E236" s="324">
        <v>23285.55</v>
      </c>
      <c r="F236" s="325">
        <f t="shared" si="13"/>
        <v>74513.759999999995</v>
      </c>
      <c r="G236" s="398" t="s">
        <v>574</v>
      </c>
    </row>
    <row r="237" spans="1:7">
      <c r="A237" s="390"/>
      <c r="B237" s="321" t="s">
        <v>635</v>
      </c>
      <c r="C237" s="322" t="s">
        <v>625</v>
      </c>
      <c r="D237" s="323">
        <v>3.2</v>
      </c>
      <c r="E237" s="324">
        <v>11642.78</v>
      </c>
      <c r="F237" s="325">
        <f t="shared" si="13"/>
        <v>37256.896000000001</v>
      </c>
      <c r="G237" s="398" t="s">
        <v>574</v>
      </c>
    </row>
    <row r="238" spans="1:7">
      <c r="A238" s="390"/>
      <c r="B238" s="321" t="s">
        <v>636</v>
      </c>
      <c r="C238" s="322" t="s">
        <v>119</v>
      </c>
      <c r="D238" s="323">
        <v>1</v>
      </c>
      <c r="E238" s="324">
        <v>14706.67</v>
      </c>
      <c r="F238" s="325">
        <f t="shared" si="13"/>
        <v>14706.67</v>
      </c>
      <c r="G238" s="398" t="s">
        <v>574</v>
      </c>
    </row>
    <row r="239" spans="1:7">
      <c r="A239" s="390"/>
      <c r="B239" s="321" t="s">
        <v>552</v>
      </c>
      <c r="C239" s="322" t="s">
        <v>553</v>
      </c>
      <c r="D239" s="323">
        <v>11</v>
      </c>
      <c r="E239" s="324">
        <v>2498</v>
      </c>
      <c r="F239" s="325">
        <f t="shared" si="13"/>
        <v>27478</v>
      </c>
      <c r="G239" s="393" t="s">
        <v>568</v>
      </c>
    </row>
    <row r="240" spans="1:7">
      <c r="A240" s="390"/>
      <c r="B240" s="321" t="s">
        <v>204</v>
      </c>
      <c r="C240" s="322" t="s">
        <v>553</v>
      </c>
      <c r="D240" s="323">
        <v>11</v>
      </c>
      <c r="E240" s="324">
        <v>1499</v>
      </c>
      <c r="F240" s="325">
        <f t="shared" si="13"/>
        <v>16489</v>
      </c>
      <c r="G240" s="393" t="s">
        <v>568</v>
      </c>
    </row>
    <row r="241" spans="1:7">
      <c r="A241" s="390"/>
      <c r="B241" s="321" t="s">
        <v>637</v>
      </c>
      <c r="C241" s="322" t="s">
        <v>119</v>
      </c>
      <c r="D241" s="323">
        <v>1</v>
      </c>
      <c r="E241" s="324">
        <v>12745.75</v>
      </c>
      <c r="F241" s="325">
        <f t="shared" si="13"/>
        <v>12745.75</v>
      </c>
      <c r="G241" s="398" t="s">
        <v>574</v>
      </c>
    </row>
    <row r="242" spans="1:7">
      <c r="A242" s="390"/>
      <c r="B242" s="321" t="s">
        <v>638</v>
      </c>
      <c r="C242" s="322" t="s">
        <v>119</v>
      </c>
      <c r="D242" s="323">
        <v>1</v>
      </c>
      <c r="E242" s="324">
        <v>2095.4899999999998</v>
      </c>
      <c r="F242" s="325">
        <f t="shared" si="13"/>
        <v>2095.4899999999998</v>
      </c>
      <c r="G242" s="398" t="s">
        <v>574</v>
      </c>
    </row>
    <row r="243" spans="1:7">
      <c r="A243" s="390"/>
      <c r="B243" s="321" t="s">
        <v>532</v>
      </c>
      <c r="C243" s="322" t="s">
        <v>119</v>
      </c>
      <c r="D243" s="323">
        <v>1</v>
      </c>
      <c r="E243" s="396"/>
      <c r="F243" s="325">
        <v>381572.02</v>
      </c>
      <c r="G243" s="396"/>
    </row>
    <row r="244" spans="1:7">
      <c r="A244" s="390"/>
      <c r="B244" s="396"/>
      <c r="C244" s="397"/>
      <c r="D244" s="396"/>
      <c r="E244" s="396"/>
      <c r="F244" s="396"/>
      <c r="G244" s="396"/>
    </row>
    <row r="245" spans="1:7">
      <c r="A245" s="390"/>
      <c r="B245" s="668"/>
      <c r="C245" s="669"/>
      <c r="D245" s="672" t="s">
        <v>578</v>
      </c>
      <c r="E245" s="672"/>
      <c r="F245" s="673">
        <f>ROUND(F243,0)</f>
        <v>381572</v>
      </c>
      <c r="G245" s="675"/>
    </row>
    <row r="246" spans="1:7">
      <c r="A246" s="390"/>
      <c r="B246" s="670"/>
      <c r="C246" s="671"/>
      <c r="D246" s="672"/>
      <c r="E246" s="672"/>
      <c r="F246" s="674"/>
      <c r="G246" s="675"/>
    </row>
    <row r="247" spans="1:7">
      <c r="A247" s="270" t="s">
        <v>1309</v>
      </c>
      <c r="B247" s="662" t="s">
        <v>646</v>
      </c>
      <c r="C247" s="663"/>
      <c r="D247" s="664" t="s">
        <v>611</v>
      </c>
      <c r="E247" s="665"/>
      <c r="F247" s="399"/>
      <c r="G247" s="400"/>
    </row>
    <row r="248" spans="1:7">
      <c r="A248" s="390"/>
      <c r="B248" s="392" t="s">
        <v>548</v>
      </c>
      <c r="C248" s="392" t="s">
        <v>0</v>
      </c>
      <c r="D248" s="392" t="s">
        <v>549</v>
      </c>
      <c r="E248" s="392" t="s">
        <v>220</v>
      </c>
      <c r="F248" s="392" t="s">
        <v>550</v>
      </c>
      <c r="G248" s="392" t="s">
        <v>551</v>
      </c>
    </row>
    <row r="249" spans="1:7">
      <c r="A249" s="390"/>
      <c r="B249" s="321" t="s">
        <v>631</v>
      </c>
      <c r="C249" s="322" t="s">
        <v>119</v>
      </c>
      <c r="D249" s="323">
        <v>1</v>
      </c>
      <c r="E249" s="324">
        <v>800</v>
      </c>
      <c r="F249" s="325">
        <f t="shared" ref="F249:F259" si="14">D249*E249</f>
        <v>800</v>
      </c>
      <c r="G249" s="393" t="s">
        <v>568</v>
      </c>
    </row>
    <row r="250" spans="1:7">
      <c r="A250" s="390"/>
      <c r="B250" s="321" t="s">
        <v>651</v>
      </c>
      <c r="C250" s="322" t="s">
        <v>119</v>
      </c>
      <c r="D250" s="323">
        <v>1</v>
      </c>
      <c r="E250" s="324">
        <v>2798</v>
      </c>
      <c r="F250" s="325">
        <f t="shared" si="14"/>
        <v>2798</v>
      </c>
      <c r="G250" s="393" t="s">
        <v>568</v>
      </c>
    </row>
    <row r="251" spans="1:7">
      <c r="A251" s="390"/>
      <c r="B251" s="321" t="s">
        <v>652</v>
      </c>
      <c r="C251" s="322" t="s">
        <v>119</v>
      </c>
      <c r="D251" s="323">
        <v>1</v>
      </c>
      <c r="E251" s="324">
        <v>2798</v>
      </c>
      <c r="F251" s="325">
        <f t="shared" si="14"/>
        <v>2798</v>
      </c>
      <c r="G251" s="393" t="s">
        <v>568</v>
      </c>
    </row>
    <row r="252" spans="1:7">
      <c r="A252" s="390"/>
      <c r="B252" s="321" t="s">
        <v>653</v>
      </c>
      <c r="C252" s="322" t="s">
        <v>119</v>
      </c>
      <c r="D252" s="323">
        <v>1</v>
      </c>
      <c r="E252" s="324">
        <v>1999</v>
      </c>
      <c r="F252" s="325">
        <f t="shared" si="14"/>
        <v>1999</v>
      </c>
      <c r="G252" s="393" t="s">
        <v>568</v>
      </c>
    </row>
    <row r="253" spans="1:7">
      <c r="A253" s="390"/>
      <c r="B253" s="321" t="s">
        <v>643</v>
      </c>
      <c r="C253" s="322" t="s">
        <v>119</v>
      </c>
      <c r="D253" s="323">
        <v>1</v>
      </c>
      <c r="E253" s="324">
        <v>999</v>
      </c>
      <c r="F253" s="325">
        <f t="shared" si="14"/>
        <v>999</v>
      </c>
      <c r="G253" s="393" t="s">
        <v>568</v>
      </c>
    </row>
    <row r="254" spans="1:7">
      <c r="A254" s="390"/>
      <c r="B254" s="321" t="s">
        <v>644</v>
      </c>
      <c r="C254" s="322" t="s">
        <v>119</v>
      </c>
      <c r="D254" s="323">
        <v>1</v>
      </c>
      <c r="E254" s="324">
        <v>3921.78</v>
      </c>
      <c r="F254" s="325">
        <f t="shared" si="14"/>
        <v>3921.78</v>
      </c>
      <c r="G254" s="398" t="s">
        <v>574</v>
      </c>
    </row>
    <row r="255" spans="1:7">
      <c r="A255" s="390"/>
      <c r="B255" s="321" t="s">
        <v>645</v>
      </c>
      <c r="C255" s="322" t="s">
        <v>119</v>
      </c>
      <c r="D255" s="323">
        <v>1</v>
      </c>
      <c r="E255" s="324">
        <v>300</v>
      </c>
      <c r="F255" s="325">
        <f t="shared" si="14"/>
        <v>300</v>
      </c>
      <c r="G255" s="393" t="s">
        <v>568</v>
      </c>
    </row>
    <row r="256" spans="1:7">
      <c r="A256" s="390"/>
      <c r="B256" s="321" t="s">
        <v>552</v>
      </c>
      <c r="C256" s="322" t="s">
        <v>553</v>
      </c>
      <c r="D256" s="323">
        <v>2.5</v>
      </c>
      <c r="E256" s="324">
        <v>2498</v>
      </c>
      <c r="F256" s="325">
        <f t="shared" si="14"/>
        <v>6245</v>
      </c>
      <c r="G256" s="393" t="s">
        <v>568</v>
      </c>
    </row>
    <row r="257" spans="1:7">
      <c r="A257" s="390"/>
      <c r="B257" s="321" t="s">
        <v>204</v>
      </c>
      <c r="C257" s="322" t="s">
        <v>553</v>
      </c>
      <c r="D257" s="323">
        <v>2.5</v>
      </c>
      <c r="E257" s="324">
        <v>1499</v>
      </c>
      <c r="F257" s="325">
        <f t="shared" si="14"/>
        <v>3747.5</v>
      </c>
      <c r="G257" s="393" t="s">
        <v>568</v>
      </c>
    </row>
    <row r="258" spans="1:7">
      <c r="A258" s="390"/>
      <c r="B258" s="321" t="s">
        <v>637</v>
      </c>
      <c r="C258" s="322" t="s">
        <v>119</v>
      </c>
      <c r="D258" s="323">
        <v>1</v>
      </c>
      <c r="E258" s="324">
        <v>490.22</v>
      </c>
      <c r="F258" s="325">
        <f t="shared" si="14"/>
        <v>490.22</v>
      </c>
      <c r="G258" s="398" t="s">
        <v>574</v>
      </c>
    </row>
    <row r="259" spans="1:7">
      <c r="A259" s="390"/>
      <c r="B259" s="321" t="s">
        <v>594</v>
      </c>
      <c r="C259" s="322" t="s">
        <v>119</v>
      </c>
      <c r="D259" s="323">
        <v>1</v>
      </c>
      <c r="E259" s="324">
        <v>120.32</v>
      </c>
      <c r="F259" s="325">
        <f t="shared" si="14"/>
        <v>120.32</v>
      </c>
      <c r="G259" s="398" t="s">
        <v>574</v>
      </c>
    </row>
    <row r="260" spans="1:7">
      <c r="A260" s="390"/>
      <c r="B260" s="321" t="s">
        <v>532</v>
      </c>
      <c r="C260" s="322" t="s">
        <v>102</v>
      </c>
      <c r="D260" s="323">
        <v>1</v>
      </c>
      <c r="E260" s="324"/>
      <c r="F260" s="325">
        <f>SUM(F249:F259)</f>
        <v>24218.82</v>
      </c>
      <c r="G260" s="396"/>
    </row>
    <row r="261" spans="1:7">
      <c r="A261" s="390"/>
      <c r="B261" s="321"/>
      <c r="C261" s="322"/>
      <c r="D261" s="323"/>
      <c r="E261" s="324"/>
      <c r="F261" s="325"/>
      <c r="G261" s="396"/>
    </row>
    <row r="262" spans="1:7">
      <c r="A262" s="390"/>
      <c r="B262" s="668"/>
      <c r="C262" s="669"/>
      <c r="D262" s="668" t="s">
        <v>639</v>
      </c>
      <c r="E262" s="669"/>
      <c r="F262" s="673">
        <f>ROUND(F260,0)</f>
        <v>24219</v>
      </c>
      <c r="G262" s="673"/>
    </row>
    <row r="263" spans="1:7">
      <c r="A263" s="390"/>
      <c r="B263" s="670"/>
      <c r="C263" s="671"/>
      <c r="D263" s="670"/>
      <c r="E263" s="671"/>
      <c r="F263" s="674"/>
      <c r="G263" s="674"/>
    </row>
    <row r="264" spans="1:7">
      <c r="A264" s="270" t="s">
        <v>1310</v>
      </c>
      <c r="B264" s="662" t="s">
        <v>648</v>
      </c>
      <c r="C264" s="663"/>
      <c r="D264" s="664" t="s">
        <v>618</v>
      </c>
      <c r="E264" s="665"/>
      <c r="F264" s="399"/>
      <c r="G264" s="400"/>
    </row>
    <row r="265" spans="1:7">
      <c r="A265" s="390"/>
      <c r="B265" s="392" t="s">
        <v>631</v>
      </c>
      <c r="C265" s="322" t="s">
        <v>119</v>
      </c>
      <c r="D265" s="323">
        <v>1</v>
      </c>
      <c r="E265" s="324">
        <v>175</v>
      </c>
      <c r="F265" s="325">
        <f t="shared" ref="F265:F275" si="15">D265*E265</f>
        <v>175</v>
      </c>
      <c r="G265" s="405" t="s">
        <v>568</v>
      </c>
    </row>
    <row r="266" spans="1:7">
      <c r="A266" s="390"/>
      <c r="B266" s="321" t="s">
        <v>640</v>
      </c>
      <c r="C266" s="322" t="s">
        <v>119</v>
      </c>
      <c r="D266" s="323">
        <v>1</v>
      </c>
      <c r="E266" s="324">
        <v>700</v>
      </c>
      <c r="F266" s="325">
        <f t="shared" si="15"/>
        <v>700</v>
      </c>
      <c r="G266" s="393" t="s">
        <v>568</v>
      </c>
    </row>
    <row r="267" spans="1:7">
      <c r="A267" s="390"/>
      <c r="B267" s="321" t="s">
        <v>641</v>
      </c>
      <c r="C267" s="322" t="s">
        <v>119</v>
      </c>
      <c r="D267" s="323">
        <v>1</v>
      </c>
      <c r="E267" s="324">
        <v>700</v>
      </c>
      <c r="F267" s="325">
        <f t="shared" si="15"/>
        <v>700</v>
      </c>
      <c r="G267" s="393" t="s">
        <v>568</v>
      </c>
    </row>
    <row r="268" spans="1:7">
      <c r="A268" s="390"/>
      <c r="B268" s="321" t="s">
        <v>642</v>
      </c>
      <c r="C268" s="322" t="s">
        <v>119</v>
      </c>
      <c r="D268" s="323">
        <v>1</v>
      </c>
      <c r="E268" s="324">
        <v>400</v>
      </c>
      <c r="F268" s="325">
        <f t="shared" si="15"/>
        <v>400</v>
      </c>
      <c r="G268" s="393" t="s">
        <v>568</v>
      </c>
    </row>
    <row r="269" spans="1:7">
      <c r="A269" s="390"/>
      <c r="B269" s="321" t="s">
        <v>643</v>
      </c>
      <c r="C269" s="322" t="s">
        <v>119</v>
      </c>
      <c r="D269" s="323">
        <v>1</v>
      </c>
      <c r="E269" s="324">
        <v>200</v>
      </c>
      <c r="F269" s="325">
        <f t="shared" si="15"/>
        <v>200</v>
      </c>
      <c r="G269" s="393" t="s">
        <v>568</v>
      </c>
    </row>
    <row r="270" spans="1:7">
      <c r="A270" s="390"/>
      <c r="B270" s="321" t="s">
        <v>647</v>
      </c>
      <c r="C270" s="322" t="s">
        <v>119</v>
      </c>
      <c r="D270" s="323">
        <v>1</v>
      </c>
      <c r="E270" s="324">
        <v>882.4</v>
      </c>
      <c r="F270" s="325">
        <f t="shared" si="15"/>
        <v>882.4</v>
      </c>
      <c r="G270" s="398" t="s">
        <v>574</v>
      </c>
    </row>
    <row r="271" spans="1:7">
      <c r="A271" s="390"/>
      <c r="B271" s="321" t="s">
        <v>645</v>
      </c>
      <c r="C271" s="322" t="s">
        <v>119</v>
      </c>
      <c r="D271" s="323">
        <v>1</v>
      </c>
      <c r="E271" s="324">
        <v>20</v>
      </c>
      <c r="F271" s="325">
        <f t="shared" si="15"/>
        <v>20</v>
      </c>
      <c r="G271" s="393" t="s">
        <v>568</v>
      </c>
    </row>
    <row r="272" spans="1:7">
      <c r="A272" s="390"/>
      <c r="B272" s="321" t="s">
        <v>552</v>
      </c>
      <c r="C272" s="322" t="s">
        <v>553</v>
      </c>
      <c r="D272" s="323">
        <v>0.08</v>
      </c>
      <c r="E272" s="324">
        <v>2498</v>
      </c>
      <c r="F272" s="325">
        <f t="shared" si="15"/>
        <v>199.84</v>
      </c>
      <c r="G272" s="393" t="s">
        <v>568</v>
      </c>
    </row>
    <row r="273" spans="1:7">
      <c r="A273" s="390"/>
      <c r="B273" s="321" t="s">
        <v>204</v>
      </c>
      <c r="C273" s="322" t="s">
        <v>553</v>
      </c>
      <c r="D273" s="323">
        <v>0.08</v>
      </c>
      <c r="E273" s="324">
        <v>1499</v>
      </c>
      <c r="F273" s="325">
        <f t="shared" si="15"/>
        <v>119.92</v>
      </c>
      <c r="G273" s="393" t="s">
        <v>568</v>
      </c>
    </row>
    <row r="274" spans="1:7">
      <c r="A274" s="390"/>
      <c r="B274" s="321" t="s">
        <v>637</v>
      </c>
      <c r="C274" s="322" t="s">
        <v>119</v>
      </c>
      <c r="D274" s="323">
        <v>1</v>
      </c>
      <c r="E274" s="324">
        <v>29.41</v>
      </c>
      <c r="F274" s="325">
        <f t="shared" si="15"/>
        <v>29.41</v>
      </c>
      <c r="G274" s="398" t="s">
        <v>574</v>
      </c>
    </row>
    <row r="275" spans="1:7">
      <c r="A275" s="390"/>
      <c r="B275" s="321" t="s">
        <v>594</v>
      </c>
      <c r="C275" s="322" t="s">
        <v>119</v>
      </c>
      <c r="D275" s="323">
        <v>1</v>
      </c>
      <c r="E275" s="324">
        <v>66.31</v>
      </c>
      <c r="F275" s="325">
        <f t="shared" si="15"/>
        <v>66.31</v>
      </c>
      <c r="G275" s="398" t="s">
        <v>574</v>
      </c>
    </row>
    <row r="276" spans="1:7">
      <c r="A276" s="390"/>
      <c r="B276" s="321" t="s">
        <v>532</v>
      </c>
      <c r="C276" s="322" t="s">
        <v>75</v>
      </c>
      <c r="D276" s="323">
        <v>1</v>
      </c>
      <c r="E276" s="396"/>
      <c r="F276" s="325">
        <f>SUM(F265:F275)</f>
        <v>3492.88</v>
      </c>
      <c r="G276" s="396"/>
    </row>
    <row r="277" spans="1:7">
      <c r="A277" s="390"/>
      <c r="B277" s="321"/>
      <c r="C277" s="322"/>
      <c r="D277" s="323"/>
      <c r="E277" s="396"/>
      <c r="F277" s="325"/>
      <c r="G277" s="396"/>
    </row>
    <row r="278" spans="1:7">
      <c r="A278" s="390"/>
      <c r="B278" s="271"/>
      <c r="C278" s="272"/>
      <c r="D278" s="668" t="s">
        <v>619</v>
      </c>
      <c r="E278" s="669"/>
      <c r="F278" s="673">
        <f>ROUND(F276,0)</f>
        <v>3493</v>
      </c>
      <c r="G278" s="673"/>
    </row>
    <row r="279" spans="1:7">
      <c r="A279" s="390"/>
      <c r="B279" s="273"/>
      <c r="C279" s="274"/>
      <c r="D279" s="670"/>
      <c r="E279" s="671"/>
      <c r="F279" s="674"/>
      <c r="G279" s="674"/>
    </row>
    <row r="280" spans="1:7">
      <c r="A280" s="270" t="s">
        <v>1311</v>
      </c>
      <c r="B280" s="662" t="s">
        <v>654</v>
      </c>
      <c r="C280" s="663"/>
      <c r="D280" s="664" t="s">
        <v>569</v>
      </c>
      <c r="E280" s="665"/>
      <c r="F280" s="399"/>
      <c r="G280" s="400"/>
    </row>
    <row r="281" spans="1:7">
      <c r="A281" s="390"/>
      <c r="B281" s="321" t="s">
        <v>1363</v>
      </c>
      <c r="C281" s="322" t="s">
        <v>150</v>
      </c>
      <c r="D281" s="323">
        <v>0.5</v>
      </c>
      <c r="E281" s="324">
        <v>200</v>
      </c>
      <c r="F281" s="325">
        <f t="shared" ref="F281:F292" si="16">D281*E281</f>
        <v>100</v>
      </c>
      <c r="G281" s="393" t="s">
        <v>568</v>
      </c>
    </row>
    <row r="282" spans="1:7" ht="21">
      <c r="A282" s="390"/>
      <c r="B282" s="394" t="s">
        <v>661</v>
      </c>
      <c r="C282" s="322" t="s">
        <v>11</v>
      </c>
      <c r="D282" s="323">
        <v>0.55000000000000004</v>
      </c>
      <c r="E282" s="324">
        <v>844</v>
      </c>
      <c r="F282" s="325">
        <f t="shared" si="16"/>
        <v>464.20000000000005</v>
      </c>
      <c r="G282" s="393" t="s">
        <v>568</v>
      </c>
    </row>
    <row r="283" spans="1:7" ht="21">
      <c r="A283" s="390"/>
      <c r="B283" s="394" t="s">
        <v>659</v>
      </c>
      <c r="C283" s="322" t="s">
        <v>11</v>
      </c>
      <c r="D283" s="323">
        <v>3.2</v>
      </c>
      <c r="E283" s="324">
        <v>500</v>
      </c>
      <c r="F283" s="325">
        <f t="shared" si="16"/>
        <v>1600</v>
      </c>
      <c r="G283" s="393" t="s">
        <v>568</v>
      </c>
    </row>
    <row r="284" spans="1:7" ht="20.25" customHeight="1">
      <c r="A284" s="390"/>
      <c r="B284" s="321" t="s">
        <v>655</v>
      </c>
      <c r="C284" s="322" t="s">
        <v>11</v>
      </c>
      <c r="D284" s="323">
        <v>3.2</v>
      </c>
      <c r="E284" s="324">
        <v>588.27</v>
      </c>
      <c r="F284" s="325">
        <f t="shared" si="16"/>
        <v>1882.4639999999999</v>
      </c>
      <c r="G284" s="398" t="s">
        <v>574</v>
      </c>
    </row>
    <row r="285" spans="1:7" ht="21">
      <c r="A285" s="390"/>
      <c r="B285" s="394" t="s">
        <v>660</v>
      </c>
      <c r="C285" s="322" t="s">
        <v>11</v>
      </c>
      <c r="D285" s="323">
        <v>6</v>
      </c>
      <c r="E285" s="324">
        <v>260</v>
      </c>
      <c r="F285" s="325">
        <f t="shared" si="16"/>
        <v>1560</v>
      </c>
      <c r="G285" s="393" t="s">
        <v>568</v>
      </c>
    </row>
    <row r="286" spans="1:7">
      <c r="A286" s="390"/>
      <c r="B286" s="321" t="s">
        <v>656</v>
      </c>
      <c r="C286" s="322" t="s">
        <v>119</v>
      </c>
      <c r="D286" s="323">
        <v>1</v>
      </c>
      <c r="E286" s="324">
        <v>1399</v>
      </c>
      <c r="F286" s="325">
        <f t="shared" si="16"/>
        <v>1399</v>
      </c>
      <c r="G286" s="393" t="s">
        <v>568</v>
      </c>
    </row>
    <row r="287" spans="1:7">
      <c r="A287" s="390"/>
      <c r="B287" s="321" t="s">
        <v>657</v>
      </c>
      <c r="C287" s="322" t="s">
        <v>119</v>
      </c>
      <c r="D287" s="323">
        <v>1</v>
      </c>
      <c r="E287" s="324">
        <v>1199</v>
      </c>
      <c r="F287" s="325">
        <f t="shared" si="16"/>
        <v>1199</v>
      </c>
      <c r="G287" s="393" t="s">
        <v>568</v>
      </c>
    </row>
    <row r="288" spans="1:7">
      <c r="A288" s="390"/>
      <c r="B288" s="321" t="s">
        <v>658</v>
      </c>
      <c r="C288" s="322" t="s">
        <v>119</v>
      </c>
      <c r="D288" s="323">
        <v>1</v>
      </c>
      <c r="E288" s="324">
        <v>343.16</v>
      </c>
      <c r="F288" s="325">
        <f t="shared" si="16"/>
        <v>343.16</v>
      </c>
      <c r="G288" s="398" t="s">
        <v>574</v>
      </c>
    </row>
    <row r="289" spans="1:7">
      <c r="A289" s="390"/>
      <c r="B289" s="321" t="s">
        <v>552</v>
      </c>
      <c r="C289" s="322" t="s">
        <v>553</v>
      </c>
      <c r="D289" s="323">
        <v>0.2</v>
      </c>
      <c r="E289" s="324">
        <v>2498</v>
      </c>
      <c r="F289" s="325">
        <f t="shared" si="16"/>
        <v>499.6</v>
      </c>
      <c r="G289" s="393" t="s">
        <v>568</v>
      </c>
    </row>
    <row r="290" spans="1:7">
      <c r="A290" s="390"/>
      <c r="B290" s="321" t="s">
        <v>204</v>
      </c>
      <c r="C290" s="322" t="s">
        <v>553</v>
      </c>
      <c r="D290" s="323">
        <v>0.2</v>
      </c>
      <c r="E290" s="324">
        <v>1499</v>
      </c>
      <c r="F290" s="325">
        <f t="shared" si="16"/>
        <v>299.8</v>
      </c>
      <c r="G290" s="393" t="s">
        <v>568</v>
      </c>
    </row>
    <row r="291" spans="1:7">
      <c r="A291" s="390"/>
      <c r="B291" s="321" t="s">
        <v>637</v>
      </c>
      <c r="C291" s="322" t="s">
        <v>119</v>
      </c>
      <c r="D291" s="323">
        <v>1</v>
      </c>
      <c r="E291" s="324">
        <v>196.08</v>
      </c>
      <c r="F291" s="325">
        <f t="shared" si="16"/>
        <v>196.08</v>
      </c>
      <c r="G291" s="398" t="s">
        <v>574</v>
      </c>
    </row>
    <row r="292" spans="1:7">
      <c r="A292" s="390"/>
      <c r="B292" s="321" t="s">
        <v>554</v>
      </c>
      <c r="C292" s="322" t="s">
        <v>119</v>
      </c>
      <c r="D292" s="323">
        <v>1</v>
      </c>
      <c r="E292" s="324">
        <v>155.24</v>
      </c>
      <c r="F292" s="325">
        <f t="shared" si="16"/>
        <v>155.24</v>
      </c>
      <c r="G292" s="398" t="s">
        <v>574</v>
      </c>
    </row>
    <row r="293" spans="1:7">
      <c r="A293" s="390"/>
      <c r="B293" s="321" t="s">
        <v>532</v>
      </c>
      <c r="C293" s="322" t="s">
        <v>11</v>
      </c>
      <c r="D293" s="323">
        <v>1</v>
      </c>
      <c r="E293" s="324"/>
      <c r="F293" s="325">
        <f>SUM(F281:F292)</f>
        <v>9698.5439999999999</v>
      </c>
      <c r="G293" s="393"/>
    </row>
    <row r="294" spans="1:7">
      <c r="A294" s="390"/>
      <c r="B294" s="321"/>
      <c r="C294" s="322"/>
      <c r="D294" s="323"/>
      <c r="E294" s="396"/>
      <c r="F294" s="325"/>
      <c r="G294" s="396"/>
    </row>
    <row r="295" spans="1:7">
      <c r="A295" s="390"/>
      <c r="B295" s="271"/>
      <c r="C295" s="272"/>
      <c r="D295" s="668" t="s">
        <v>577</v>
      </c>
      <c r="E295" s="669"/>
      <c r="F295" s="673">
        <f>ROUND(F293,0)</f>
        <v>9699</v>
      </c>
      <c r="G295" s="673"/>
    </row>
    <row r="296" spans="1:7">
      <c r="A296" s="390"/>
      <c r="B296" s="273"/>
      <c r="C296" s="274"/>
      <c r="D296" s="670"/>
      <c r="E296" s="671"/>
      <c r="F296" s="674"/>
      <c r="G296" s="674"/>
    </row>
    <row r="297" spans="1:7" ht="22.5" customHeight="1">
      <c r="A297" s="270" t="s">
        <v>1312</v>
      </c>
      <c r="B297" s="662" t="s">
        <v>691</v>
      </c>
      <c r="C297" s="663"/>
      <c r="D297" s="664" t="s">
        <v>677</v>
      </c>
      <c r="E297" s="665"/>
      <c r="F297" s="399"/>
      <c r="G297" s="400"/>
    </row>
    <row r="298" spans="1:7" ht="31.5">
      <c r="A298" s="390"/>
      <c r="B298" s="394" t="s">
        <v>683</v>
      </c>
      <c r="C298" s="322" t="s">
        <v>115</v>
      </c>
      <c r="D298" s="323">
        <v>1</v>
      </c>
      <c r="E298" s="324">
        <v>2696.22</v>
      </c>
      <c r="F298" s="325">
        <f t="shared" ref="F298:F302" si="17">D298*E298</f>
        <v>2696.22</v>
      </c>
      <c r="G298" s="398" t="s">
        <v>574</v>
      </c>
    </row>
    <row r="299" spans="1:7">
      <c r="A299" s="390"/>
      <c r="B299" s="394" t="s">
        <v>679</v>
      </c>
      <c r="C299" s="322" t="s">
        <v>72</v>
      </c>
      <c r="D299" s="323">
        <v>0.5</v>
      </c>
      <c r="E299" s="324">
        <v>420</v>
      </c>
      <c r="F299" s="325">
        <f t="shared" si="17"/>
        <v>210</v>
      </c>
      <c r="G299" s="393" t="s">
        <v>568</v>
      </c>
    </row>
    <row r="300" spans="1:7">
      <c r="A300" s="390"/>
      <c r="B300" s="394" t="s">
        <v>680</v>
      </c>
      <c r="C300" s="322" t="s">
        <v>126</v>
      </c>
      <c r="D300" s="323">
        <v>3</v>
      </c>
      <c r="E300" s="324">
        <v>110</v>
      </c>
      <c r="F300" s="325">
        <f t="shared" si="17"/>
        <v>330</v>
      </c>
      <c r="G300" s="393" t="s">
        <v>568</v>
      </c>
    </row>
    <row r="301" spans="1:7">
      <c r="A301" s="390"/>
      <c r="B301" s="321" t="s">
        <v>681</v>
      </c>
      <c r="C301" s="322" t="s">
        <v>553</v>
      </c>
      <c r="D301" s="323">
        <v>0.21</v>
      </c>
      <c r="E301" s="324">
        <v>1999</v>
      </c>
      <c r="F301" s="325">
        <f t="shared" si="17"/>
        <v>419.78999999999996</v>
      </c>
      <c r="G301" s="393" t="s">
        <v>568</v>
      </c>
    </row>
    <row r="302" spans="1:7" ht="21" customHeight="1">
      <c r="A302" s="390"/>
      <c r="B302" s="394" t="s">
        <v>682</v>
      </c>
      <c r="C302" s="322" t="s">
        <v>119</v>
      </c>
      <c r="D302" s="323">
        <v>1</v>
      </c>
      <c r="E302" s="324">
        <v>199.05</v>
      </c>
      <c r="F302" s="325">
        <f t="shared" si="17"/>
        <v>199.05</v>
      </c>
      <c r="G302" s="393" t="s">
        <v>568</v>
      </c>
    </row>
    <row r="303" spans="1:7">
      <c r="A303" s="390"/>
      <c r="B303" s="321" t="s">
        <v>532</v>
      </c>
      <c r="C303" s="322" t="s">
        <v>115</v>
      </c>
      <c r="D303" s="323">
        <v>1</v>
      </c>
      <c r="E303" s="324"/>
      <c r="F303" s="325">
        <f>SUM(F298:F302)</f>
        <v>3855.06</v>
      </c>
      <c r="G303" s="393"/>
    </row>
    <row r="304" spans="1:7">
      <c r="A304" s="390"/>
      <c r="B304" s="321"/>
      <c r="C304" s="322"/>
      <c r="D304" s="323"/>
      <c r="E304" s="396"/>
      <c r="F304" s="325"/>
      <c r="G304" s="396"/>
    </row>
    <row r="305" spans="1:7">
      <c r="A305" s="390"/>
      <c r="B305" s="271"/>
      <c r="C305" s="272"/>
      <c r="D305" s="668" t="s">
        <v>678</v>
      </c>
      <c r="E305" s="669"/>
      <c r="F305" s="673">
        <f>ROUND(F303,0)</f>
        <v>3855</v>
      </c>
      <c r="G305" s="673"/>
    </row>
    <row r="306" spans="1:7">
      <c r="A306" s="390"/>
      <c r="B306" s="273"/>
      <c r="C306" s="274"/>
      <c r="D306" s="670"/>
      <c r="E306" s="671"/>
      <c r="F306" s="674"/>
      <c r="G306" s="674"/>
    </row>
    <row r="307" spans="1:7" ht="21.75" customHeight="1">
      <c r="A307" s="270" t="s">
        <v>1313</v>
      </c>
      <c r="B307" s="662" t="s">
        <v>694</v>
      </c>
      <c r="C307" s="663"/>
      <c r="D307" s="664" t="s">
        <v>677</v>
      </c>
      <c r="E307" s="665"/>
      <c r="F307" s="399"/>
      <c r="G307" s="400"/>
    </row>
    <row r="308" spans="1:7" ht="21">
      <c r="A308" s="390"/>
      <c r="B308" s="394" t="s">
        <v>695</v>
      </c>
      <c r="C308" s="322" t="s">
        <v>115</v>
      </c>
      <c r="D308" s="323">
        <v>1</v>
      </c>
      <c r="E308" s="324">
        <v>32.35</v>
      </c>
      <c r="F308" s="325">
        <f t="shared" ref="F308:F310" si="18">D308*E308</f>
        <v>32.35</v>
      </c>
      <c r="G308" s="398" t="s">
        <v>574</v>
      </c>
    </row>
    <row r="309" spans="1:7">
      <c r="A309" s="390"/>
      <c r="B309" s="394" t="s">
        <v>681</v>
      </c>
      <c r="C309" s="322" t="s">
        <v>553</v>
      </c>
      <c r="D309" s="323">
        <v>0.02</v>
      </c>
      <c r="E309" s="324">
        <v>1999</v>
      </c>
      <c r="F309" s="325">
        <f t="shared" si="18"/>
        <v>39.980000000000004</v>
      </c>
      <c r="G309" s="393" t="s">
        <v>568</v>
      </c>
    </row>
    <row r="310" spans="1:7" ht="20.25" customHeight="1">
      <c r="A310" s="390"/>
      <c r="B310" s="394" t="s">
        <v>682</v>
      </c>
      <c r="C310" s="322" t="s">
        <v>119</v>
      </c>
      <c r="D310" s="323">
        <v>1</v>
      </c>
      <c r="E310" s="324">
        <v>25.01</v>
      </c>
      <c r="F310" s="325">
        <f t="shared" si="18"/>
        <v>25.01</v>
      </c>
      <c r="G310" s="393" t="s">
        <v>568</v>
      </c>
    </row>
    <row r="311" spans="1:7">
      <c r="A311" s="390"/>
      <c r="B311" s="321" t="s">
        <v>532</v>
      </c>
      <c r="C311" s="322" t="s">
        <v>115</v>
      </c>
      <c r="D311" s="323">
        <v>1</v>
      </c>
      <c r="E311" s="324"/>
      <c r="F311" s="325">
        <f>SUM(F308:F310)</f>
        <v>97.340000000000018</v>
      </c>
      <c r="G311" s="393"/>
    </row>
    <row r="312" spans="1:7">
      <c r="A312" s="390"/>
      <c r="B312" s="321"/>
      <c r="C312" s="322"/>
      <c r="D312" s="323"/>
      <c r="E312" s="396"/>
      <c r="F312" s="325"/>
      <c r="G312" s="396"/>
    </row>
    <row r="313" spans="1:7">
      <c r="A313" s="390"/>
      <c r="B313" s="271"/>
      <c r="C313" s="272"/>
      <c r="D313" s="668" t="s">
        <v>678</v>
      </c>
      <c r="E313" s="669"/>
      <c r="F313" s="673">
        <f>ROUND(F311,0)</f>
        <v>97</v>
      </c>
      <c r="G313" s="673"/>
    </row>
    <row r="314" spans="1:7">
      <c r="A314" s="390"/>
      <c r="B314" s="273"/>
      <c r="C314" s="274"/>
      <c r="D314" s="670"/>
      <c r="E314" s="671"/>
      <c r="F314" s="674"/>
      <c r="G314" s="674"/>
    </row>
    <row r="315" spans="1:7" ht="21.75" customHeight="1">
      <c r="A315" s="270" t="s">
        <v>1314</v>
      </c>
      <c r="B315" s="662" t="s">
        <v>696</v>
      </c>
      <c r="C315" s="663"/>
      <c r="D315" s="664" t="s">
        <v>677</v>
      </c>
      <c r="E315" s="665"/>
      <c r="F315" s="399"/>
      <c r="G315" s="400"/>
    </row>
    <row r="316" spans="1:7" ht="21">
      <c r="A316" s="390"/>
      <c r="B316" s="394" t="s">
        <v>697</v>
      </c>
      <c r="C316" s="322" t="s">
        <v>115</v>
      </c>
      <c r="D316" s="323">
        <v>1</v>
      </c>
      <c r="E316" s="324">
        <v>29.41</v>
      </c>
      <c r="F316" s="325">
        <f t="shared" ref="F316:F318" si="19">D316*E316</f>
        <v>29.41</v>
      </c>
      <c r="G316" s="398" t="s">
        <v>574</v>
      </c>
    </row>
    <row r="317" spans="1:7">
      <c r="A317" s="390"/>
      <c r="B317" s="394" t="s">
        <v>681</v>
      </c>
      <c r="C317" s="322" t="s">
        <v>553</v>
      </c>
      <c r="D317" s="323">
        <v>0.02</v>
      </c>
      <c r="E317" s="324">
        <v>1999</v>
      </c>
      <c r="F317" s="325">
        <f t="shared" si="19"/>
        <v>39.980000000000004</v>
      </c>
      <c r="G317" s="393" t="s">
        <v>568</v>
      </c>
    </row>
    <row r="318" spans="1:7" ht="20.25" customHeight="1">
      <c r="A318" s="390"/>
      <c r="B318" s="394" t="s">
        <v>682</v>
      </c>
      <c r="C318" s="322" t="s">
        <v>119</v>
      </c>
      <c r="D318" s="323">
        <v>1</v>
      </c>
      <c r="E318" s="324">
        <v>25.01</v>
      </c>
      <c r="F318" s="325">
        <f t="shared" si="19"/>
        <v>25.01</v>
      </c>
      <c r="G318" s="393" t="s">
        <v>568</v>
      </c>
    </row>
    <row r="319" spans="1:7" ht="21" customHeight="1">
      <c r="A319" s="390"/>
      <c r="B319" s="321" t="s">
        <v>532</v>
      </c>
      <c r="C319" s="322" t="s">
        <v>115</v>
      </c>
      <c r="D319" s="323">
        <v>1</v>
      </c>
      <c r="E319" s="324"/>
      <c r="F319" s="325">
        <f>SUM(F316:F318)</f>
        <v>94.4</v>
      </c>
      <c r="G319" s="393"/>
    </row>
    <row r="320" spans="1:7">
      <c r="A320" s="390"/>
      <c r="B320" s="321"/>
      <c r="C320" s="322"/>
      <c r="D320" s="323"/>
      <c r="E320" s="396"/>
      <c r="F320" s="325"/>
      <c r="G320" s="396"/>
    </row>
    <row r="321" spans="1:7">
      <c r="A321" s="390"/>
      <c r="B321" s="271"/>
      <c r="C321" s="272"/>
      <c r="D321" s="668" t="s">
        <v>678</v>
      </c>
      <c r="E321" s="669"/>
      <c r="F321" s="673">
        <f>ROUND(F319,0)</f>
        <v>94</v>
      </c>
      <c r="G321" s="673"/>
    </row>
    <row r="322" spans="1:7">
      <c r="A322" s="390"/>
      <c r="B322" s="273"/>
      <c r="C322" s="274"/>
      <c r="D322" s="670"/>
      <c r="E322" s="671"/>
      <c r="F322" s="674"/>
      <c r="G322" s="674"/>
    </row>
    <row r="323" spans="1:7" ht="20.25" customHeight="1">
      <c r="A323" s="270" t="s">
        <v>1315</v>
      </c>
      <c r="B323" s="662" t="s">
        <v>698</v>
      </c>
      <c r="C323" s="663"/>
      <c r="D323" s="664" t="s">
        <v>677</v>
      </c>
      <c r="E323" s="665"/>
      <c r="F323" s="399"/>
      <c r="G323" s="400"/>
    </row>
    <row r="324" spans="1:7" ht="28.5" customHeight="1">
      <c r="A324" s="390"/>
      <c r="B324" s="394" t="s">
        <v>699</v>
      </c>
      <c r="C324" s="322" t="s">
        <v>115</v>
      </c>
      <c r="D324" s="323">
        <v>1</v>
      </c>
      <c r="E324" s="324">
        <v>137.26</v>
      </c>
      <c r="F324" s="325">
        <f t="shared" ref="F324:F326" si="20">D324*E324</f>
        <v>137.26</v>
      </c>
      <c r="G324" s="398" t="s">
        <v>574</v>
      </c>
    </row>
    <row r="325" spans="1:7">
      <c r="A325" s="390"/>
      <c r="B325" s="394" t="s">
        <v>681</v>
      </c>
      <c r="C325" s="322" t="s">
        <v>553</v>
      </c>
      <c r="D325" s="323">
        <v>0.01</v>
      </c>
      <c r="E325" s="324">
        <v>1999</v>
      </c>
      <c r="F325" s="325">
        <f t="shared" si="20"/>
        <v>19.990000000000002</v>
      </c>
      <c r="G325" s="393" t="s">
        <v>568</v>
      </c>
    </row>
    <row r="326" spans="1:7">
      <c r="A326" s="390"/>
      <c r="B326" s="394" t="s">
        <v>682</v>
      </c>
      <c r="C326" s="322" t="s">
        <v>119</v>
      </c>
      <c r="D326" s="323">
        <v>1</v>
      </c>
      <c r="E326" s="324">
        <v>25.01</v>
      </c>
      <c r="F326" s="325">
        <f t="shared" si="20"/>
        <v>25.01</v>
      </c>
      <c r="G326" s="393" t="s">
        <v>568</v>
      </c>
    </row>
    <row r="327" spans="1:7">
      <c r="A327" s="390"/>
      <c r="B327" s="321" t="s">
        <v>532</v>
      </c>
      <c r="C327" s="322" t="s">
        <v>115</v>
      </c>
      <c r="D327" s="323">
        <v>1</v>
      </c>
      <c r="E327" s="324"/>
      <c r="F327" s="325">
        <f>SUM(F324:F326)</f>
        <v>182.26</v>
      </c>
      <c r="G327" s="393"/>
    </row>
    <row r="328" spans="1:7">
      <c r="A328" s="390"/>
      <c r="B328" s="321"/>
      <c r="C328" s="322"/>
      <c r="D328" s="323"/>
      <c r="E328" s="396"/>
      <c r="F328" s="325"/>
      <c r="G328" s="396"/>
    </row>
    <row r="329" spans="1:7" ht="16.5" customHeight="1">
      <c r="A329" s="390"/>
      <c r="B329" s="271"/>
      <c r="C329" s="272"/>
      <c r="D329" s="668" t="s">
        <v>678</v>
      </c>
      <c r="E329" s="669"/>
      <c r="F329" s="673">
        <f>ROUND(F327,0)</f>
        <v>182</v>
      </c>
      <c r="G329" s="673"/>
    </row>
    <row r="330" spans="1:7" ht="21" customHeight="1">
      <c r="A330" s="390"/>
      <c r="B330" s="273"/>
      <c r="C330" s="274"/>
      <c r="D330" s="670"/>
      <c r="E330" s="671"/>
      <c r="F330" s="674"/>
      <c r="G330" s="674"/>
    </row>
    <row r="331" spans="1:7">
      <c r="A331" s="270" t="s">
        <v>1316</v>
      </c>
      <c r="B331" s="662" t="s">
        <v>684</v>
      </c>
      <c r="C331" s="663"/>
      <c r="D331" s="664" t="s">
        <v>611</v>
      </c>
      <c r="E331" s="665"/>
      <c r="F331" s="399"/>
      <c r="G331" s="400"/>
    </row>
    <row r="332" spans="1:7">
      <c r="A332" s="390"/>
      <c r="B332" s="392" t="s">
        <v>548</v>
      </c>
      <c r="C332" s="392" t="s">
        <v>0</v>
      </c>
      <c r="D332" s="392" t="s">
        <v>549</v>
      </c>
      <c r="E332" s="392" t="s">
        <v>220</v>
      </c>
      <c r="F332" s="392" t="s">
        <v>550</v>
      </c>
      <c r="G332" s="392" t="s">
        <v>551</v>
      </c>
    </row>
    <row r="333" spans="1:7" ht="21">
      <c r="A333" s="390"/>
      <c r="B333" s="394" t="s">
        <v>1364</v>
      </c>
      <c r="C333" s="322" t="s">
        <v>11</v>
      </c>
      <c r="D333" s="323">
        <v>0.71</v>
      </c>
      <c r="E333" s="324">
        <v>500</v>
      </c>
      <c r="F333" s="325">
        <f t="shared" ref="F333:F342" si="21">D333*E333</f>
        <v>355</v>
      </c>
      <c r="G333" s="393" t="s">
        <v>568</v>
      </c>
    </row>
    <row r="334" spans="1:7" ht="20.25" customHeight="1">
      <c r="A334" s="390"/>
      <c r="B334" s="321" t="s">
        <v>685</v>
      </c>
      <c r="C334" s="322" t="s">
        <v>11</v>
      </c>
      <c r="D334" s="323">
        <v>0.19</v>
      </c>
      <c r="E334" s="324">
        <v>5441.47</v>
      </c>
      <c r="F334" s="325">
        <f t="shared" si="21"/>
        <v>1033.8793000000001</v>
      </c>
      <c r="G334" s="398" t="s">
        <v>574</v>
      </c>
    </row>
    <row r="335" spans="1:7">
      <c r="A335" s="390"/>
      <c r="B335" s="321" t="s">
        <v>686</v>
      </c>
      <c r="C335" s="322" t="s">
        <v>11</v>
      </c>
      <c r="D335" s="323">
        <v>0.19</v>
      </c>
      <c r="E335" s="324">
        <v>3431.56</v>
      </c>
      <c r="F335" s="325">
        <f t="shared" si="21"/>
        <v>651.99639999999999</v>
      </c>
      <c r="G335" s="398" t="s">
        <v>574</v>
      </c>
    </row>
    <row r="336" spans="1:7">
      <c r="A336" s="390"/>
      <c r="B336" s="321" t="s">
        <v>687</v>
      </c>
      <c r="C336" s="322" t="s">
        <v>118</v>
      </c>
      <c r="D336" s="323">
        <v>2</v>
      </c>
      <c r="E336" s="324">
        <v>784.36</v>
      </c>
      <c r="F336" s="325">
        <f t="shared" si="21"/>
        <v>1568.72</v>
      </c>
      <c r="G336" s="398" t="s">
        <v>574</v>
      </c>
    </row>
    <row r="337" spans="1:7">
      <c r="A337" s="390"/>
      <c r="B337" s="321" t="s">
        <v>688</v>
      </c>
      <c r="C337" s="322" t="s">
        <v>119</v>
      </c>
      <c r="D337" s="323">
        <v>1</v>
      </c>
      <c r="E337" s="324">
        <v>2451.11</v>
      </c>
      <c r="F337" s="325">
        <f t="shared" si="21"/>
        <v>2451.11</v>
      </c>
      <c r="G337" s="398" t="s">
        <v>574</v>
      </c>
    </row>
    <row r="338" spans="1:7">
      <c r="A338" s="390"/>
      <c r="B338" s="321" t="s">
        <v>658</v>
      </c>
      <c r="C338" s="322" t="s">
        <v>119</v>
      </c>
      <c r="D338" s="323">
        <v>1</v>
      </c>
      <c r="E338" s="324">
        <v>980.44</v>
      </c>
      <c r="F338" s="325">
        <f t="shared" si="21"/>
        <v>980.44</v>
      </c>
      <c r="G338" s="398" t="s">
        <v>574</v>
      </c>
    </row>
    <row r="339" spans="1:7">
      <c r="A339" s="390"/>
      <c r="B339" s="321" t="s">
        <v>552</v>
      </c>
      <c r="C339" s="322" t="s">
        <v>553</v>
      </c>
      <c r="D339" s="323">
        <v>1.5</v>
      </c>
      <c r="E339" s="324">
        <v>2498</v>
      </c>
      <c r="F339" s="325">
        <f t="shared" si="21"/>
        <v>3747</v>
      </c>
      <c r="G339" s="393" t="s">
        <v>568</v>
      </c>
    </row>
    <row r="340" spans="1:7">
      <c r="A340" s="390"/>
      <c r="B340" s="321" t="s">
        <v>204</v>
      </c>
      <c r="C340" s="322" t="s">
        <v>553</v>
      </c>
      <c r="D340" s="323">
        <v>1.5</v>
      </c>
      <c r="E340" s="324">
        <v>1499</v>
      </c>
      <c r="F340" s="325">
        <f t="shared" si="21"/>
        <v>2248.5</v>
      </c>
      <c r="G340" s="393" t="s">
        <v>568</v>
      </c>
    </row>
    <row r="341" spans="1:7" ht="21" customHeight="1">
      <c r="A341" s="390"/>
      <c r="B341" s="321" t="s">
        <v>637</v>
      </c>
      <c r="C341" s="322" t="s">
        <v>119</v>
      </c>
      <c r="D341" s="323">
        <v>1</v>
      </c>
      <c r="E341" s="324">
        <v>470.61</v>
      </c>
      <c r="F341" s="325">
        <f t="shared" si="21"/>
        <v>470.61</v>
      </c>
      <c r="G341" s="398" t="s">
        <v>574</v>
      </c>
    </row>
    <row r="342" spans="1:7">
      <c r="A342" s="390"/>
      <c r="B342" s="321" t="s">
        <v>554</v>
      </c>
      <c r="C342" s="322" t="s">
        <v>119</v>
      </c>
      <c r="D342" s="323">
        <v>1</v>
      </c>
      <c r="E342" s="324">
        <v>123.21</v>
      </c>
      <c r="F342" s="325">
        <f t="shared" si="21"/>
        <v>123.21</v>
      </c>
      <c r="G342" s="398" t="s">
        <v>574</v>
      </c>
    </row>
    <row r="343" spans="1:7">
      <c r="A343" s="390"/>
      <c r="B343" s="321" t="s">
        <v>532</v>
      </c>
      <c r="C343" s="322" t="s">
        <v>102</v>
      </c>
      <c r="D343" s="323">
        <v>1</v>
      </c>
      <c r="E343" s="324"/>
      <c r="F343" s="325">
        <f>SUM(F333:F342)</f>
        <v>13630.465700000001</v>
      </c>
      <c r="G343" s="398"/>
    </row>
    <row r="344" spans="1:7">
      <c r="A344" s="390"/>
      <c r="B344" s="321"/>
      <c r="C344" s="322"/>
      <c r="D344" s="323"/>
      <c r="E344" s="324"/>
      <c r="F344" s="325"/>
      <c r="G344" s="396"/>
    </row>
    <row r="345" spans="1:7">
      <c r="A345" s="390"/>
      <c r="B345" s="668"/>
      <c r="C345" s="669"/>
      <c r="D345" s="668" t="s">
        <v>639</v>
      </c>
      <c r="E345" s="669"/>
      <c r="F345" s="673">
        <f>ROUND(F343,0)</f>
        <v>13630</v>
      </c>
      <c r="G345" s="673"/>
    </row>
    <row r="346" spans="1:7">
      <c r="A346" s="390"/>
      <c r="B346" s="670"/>
      <c r="C346" s="671"/>
      <c r="D346" s="670"/>
      <c r="E346" s="671"/>
      <c r="F346" s="674"/>
      <c r="G346" s="674"/>
    </row>
    <row r="347" spans="1:7">
      <c r="A347" s="270" t="s">
        <v>1317</v>
      </c>
      <c r="B347" s="662" t="s">
        <v>689</v>
      </c>
      <c r="C347" s="663"/>
      <c r="D347" s="664" t="s">
        <v>611</v>
      </c>
      <c r="E347" s="665"/>
      <c r="F347" s="399"/>
      <c r="G347" s="400"/>
    </row>
    <row r="348" spans="1:7">
      <c r="A348" s="390"/>
      <c r="B348" s="392" t="s">
        <v>548</v>
      </c>
      <c r="C348" s="392" t="s">
        <v>0</v>
      </c>
      <c r="D348" s="392" t="s">
        <v>549</v>
      </c>
      <c r="E348" s="392" t="s">
        <v>220</v>
      </c>
      <c r="F348" s="392" t="s">
        <v>550</v>
      </c>
      <c r="G348" s="392" t="s">
        <v>551</v>
      </c>
    </row>
    <row r="349" spans="1:7">
      <c r="A349" s="390"/>
      <c r="B349" s="321" t="s">
        <v>690</v>
      </c>
      <c r="C349" s="322" t="s">
        <v>102</v>
      </c>
      <c r="D349" s="323">
        <v>1</v>
      </c>
      <c r="E349" s="324">
        <v>1455.96</v>
      </c>
      <c r="F349" s="325">
        <f>D349*E349</f>
        <v>1455.96</v>
      </c>
      <c r="G349" s="398" t="s">
        <v>574</v>
      </c>
    </row>
    <row r="350" spans="1:7">
      <c r="A350" s="390"/>
      <c r="B350" s="321" t="s">
        <v>532</v>
      </c>
      <c r="C350" s="322" t="s">
        <v>102</v>
      </c>
      <c r="D350" s="323">
        <v>1</v>
      </c>
      <c r="E350" s="324"/>
      <c r="F350" s="325">
        <f>SUM(F349)</f>
        <v>1455.96</v>
      </c>
      <c r="G350" s="393"/>
    </row>
    <row r="351" spans="1:7" ht="20.25" customHeight="1">
      <c r="A351" s="390"/>
      <c r="B351" s="321"/>
      <c r="C351" s="322"/>
      <c r="D351" s="323"/>
      <c r="E351" s="324"/>
      <c r="F351" s="325"/>
      <c r="G351" s="396"/>
    </row>
    <row r="352" spans="1:7">
      <c r="A352" s="390"/>
      <c r="B352" s="668"/>
      <c r="C352" s="669"/>
      <c r="D352" s="668" t="s">
        <v>639</v>
      </c>
      <c r="E352" s="669"/>
      <c r="F352" s="673">
        <v>1456</v>
      </c>
      <c r="G352" s="673"/>
    </row>
    <row r="353" spans="1:9">
      <c r="A353" s="390"/>
      <c r="B353" s="670"/>
      <c r="C353" s="671"/>
      <c r="D353" s="670"/>
      <c r="E353" s="671"/>
      <c r="F353" s="674"/>
      <c r="G353" s="674"/>
    </row>
    <row r="354" spans="1:9" ht="20.25" customHeight="1">
      <c r="A354" s="270" t="s">
        <v>1318</v>
      </c>
      <c r="B354" s="662" t="s">
        <v>703</v>
      </c>
      <c r="C354" s="663"/>
      <c r="D354" s="664" t="s">
        <v>611</v>
      </c>
      <c r="E354" s="665"/>
      <c r="F354" s="399"/>
      <c r="G354" s="400"/>
    </row>
    <row r="355" spans="1:9">
      <c r="A355" s="390"/>
      <c r="B355" s="392" t="s">
        <v>548</v>
      </c>
      <c r="C355" s="392" t="s">
        <v>0</v>
      </c>
      <c r="D355" s="392" t="s">
        <v>549</v>
      </c>
      <c r="E355" s="392" t="s">
        <v>220</v>
      </c>
      <c r="F355" s="392" t="s">
        <v>550</v>
      </c>
      <c r="G355" s="392" t="s">
        <v>551</v>
      </c>
    </row>
    <row r="356" spans="1:9">
      <c r="A356" s="390"/>
      <c r="B356" s="321" t="s">
        <v>704</v>
      </c>
      <c r="C356" s="322" t="s">
        <v>119</v>
      </c>
      <c r="D356" s="323">
        <v>1</v>
      </c>
      <c r="E356" s="324">
        <v>877</v>
      </c>
      <c r="F356" s="325">
        <f>D356*E356</f>
        <v>877</v>
      </c>
      <c r="G356" s="393" t="s">
        <v>568</v>
      </c>
    </row>
    <row r="357" spans="1:9">
      <c r="A357" s="390"/>
      <c r="B357" s="321" t="s">
        <v>592</v>
      </c>
      <c r="C357" s="322" t="s">
        <v>119</v>
      </c>
      <c r="D357" s="323">
        <v>1</v>
      </c>
      <c r="E357" s="324">
        <v>1045</v>
      </c>
      <c r="F357" s="325">
        <f t="shared" ref="F357:F361" si="22">D357*E357</f>
        <v>1045</v>
      </c>
      <c r="G357" s="393" t="s">
        <v>568</v>
      </c>
    </row>
    <row r="358" spans="1:9">
      <c r="A358" s="390"/>
      <c r="B358" s="321" t="s">
        <v>705</v>
      </c>
      <c r="C358" s="322" t="s">
        <v>119</v>
      </c>
      <c r="D358" s="323">
        <v>1</v>
      </c>
      <c r="E358" s="324">
        <v>999</v>
      </c>
      <c r="F358" s="325">
        <f t="shared" si="22"/>
        <v>999</v>
      </c>
      <c r="G358" s="393" t="s">
        <v>568</v>
      </c>
    </row>
    <row r="359" spans="1:9">
      <c r="A359" s="390"/>
      <c r="B359" s="321" t="s">
        <v>552</v>
      </c>
      <c r="C359" s="322" t="s">
        <v>553</v>
      </c>
      <c r="D359" s="327">
        <v>0.25</v>
      </c>
      <c r="E359" s="324">
        <v>2498</v>
      </c>
      <c r="F359" s="325">
        <f t="shared" si="22"/>
        <v>624.5</v>
      </c>
      <c r="G359" s="393" t="s">
        <v>568</v>
      </c>
    </row>
    <row r="360" spans="1:9">
      <c r="A360" s="390"/>
      <c r="B360" s="321" t="s">
        <v>204</v>
      </c>
      <c r="C360" s="322" t="s">
        <v>553</v>
      </c>
      <c r="D360" s="327">
        <v>0.25</v>
      </c>
      <c r="E360" s="324">
        <v>1499</v>
      </c>
      <c r="F360" s="325">
        <f t="shared" si="22"/>
        <v>374.75</v>
      </c>
      <c r="G360" s="393" t="s">
        <v>568</v>
      </c>
    </row>
    <row r="361" spans="1:9">
      <c r="A361" s="390"/>
      <c r="B361" s="321" t="s">
        <v>554</v>
      </c>
      <c r="C361" s="322" t="s">
        <v>119</v>
      </c>
      <c r="D361" s="323">
        <v>1</v>
      </c>
      <c r="E361" s="324">
        <v>51.75</v>
      </c>
      <c r="F361" s="325">
        <f t="shared" si="22"/>
        <v>51.75</v>
      </c>
      <c r="G361" s="393" t="s">
        <v>568</v>
      </c>
    </row>
    <row r="362" spans="1:9">
      <c r="A362" s="390"/>
      <c r="B362" s="321" t="s">
        <v>532</v>
      </c>
      <c r="C362" s="322" t="s">
        <v>102</v>
      </c>
      <c r="D362" s="323">
        <v>1</v>
      </c>
      <c r="E362" s="324"/>
      <c r="F362" s="325">
        <f>SUM(F356:F361)</f>
        <v>3972</v>
      </c>
      <c r="G362" s="393"/>
    </row>
    <row r="363" spans="1:9">
      <c r="A363" s="390"/>
      <c r="B363" s="321"/>
      <c r="C363" s="322"/>
      <c r="D363" s="323"/>
      <c r="E363" s="324"/>
      <c r="F363" s="325"/>
      <c r="G363" s="396"/>
    </row>
    <row r="364" spans="1:9">
      <c r="A364" s="390"/>
      <c r="B364" s="668"/>
      <c r="C364" s="669"/>
      <c r="D364" s="668" t="s">
        <v>639</v>
      </c>
      <c r="E364" s="669"/>
      <c r="F364" s="673">
        <f>ROUND(F362,0)</f>
        <v>3972</v>
      </c>
      <c r="G364" s="673"/>
    </row>
    <row r="365" spans="1:9">
      <c r="A365" s="390"/>
      <c r="B365" s="670"/>
      <c r="C365" s="671"/>
      <c r="D365" s="670"/>
      <c r="E365" s="671"/>
      <c r="F365" s="674"/>
      <c r="G365" s="674"/>
    </row>
    <row r="366" spans="1:9" ht="20.25" customHeight="1">
      <c r="A366" s="270" t="s">
        <v>1319</v>
      </c>
      <c r="B366" s="662" t="s">
        <v>954</v>
      </c>
      <c r="C366" s="663"/>
      <c r="D366" s="664" t="s">
        <v>618</v>
      </c>
      <c r="E366" s="665"/>
      <c r="F366" s="399"/>
      <c r="G366" s="400"/>
    </row>
    <row r="367" spans="1:9">
      <c r="A367" s="390"/>
      <c r="B367" s="392" t="s">
        <v>548</v>
      </c>
      <c r="C367" s="392" t="s">
        <v>0</v>
      </c>
      <c r="D367" s="392" t="s">
        <v>549</v>
      </c>
      <c r="E367" s="392" t="s">
        <v>220</v>
      </c>
      <c r="F367" s="392" t="s">
        <v>550</v>
      </c>
      <c r="G367" s="392" t="s">
        <v>551</v>
      </c>
    </row>
    <row r="368" spans="1:9">
      <c r="A368" s="390"/>
      <c r="B368" s="321" t="s">
        <v>77</v>
      </c>
      <c r="C368" s="322" t="s">
        <v>72</v>
      </c>
      <c r="D368" s="323">
        <v>0.13800000000000001</v>
      </c>
      <c r="E368" s="324">
        <v>2299</v>
      </c>
      <c r="F368" s="325">
        <f>D368*E368</f>
        <v>317.262</v>
      </c>
      <c r="G368" s="393" t="s">
        <v>568</v>
      </c>
      <c r="I368" t="s">
        <v>990</v>
      </c>
    </row>
    <row r="369" spans="1:7">
      <c r="A369" s="390"/>
      <c r="B369" s="321" t="s">
        <v>955</v>
      </c>
      <c r="C369" s="322" t="s">
        <v>239</v>
      </c>
      <c r="D369" s="323">
        <v>4.78</v>
      </c>
      <c r="E369" s="324">
        <v>26</v>
      </c>
      <c r="F369" s="325">
        <f t="shared" ref="F369:F371" si="23">D369*E369</f>
        <v>124.28</v>
      </c>
      <c r="G369" s="393" t="s">
        <v>568</v>
      </c>
    </row>
    <row r="370" spans="1:7">
      <c r="A370" s="390"/>
      <c r="B370" s="321" t="s">
        <v>1365</v>
      </c>
      <c r="C370" s="322" t="s">
        <v>732</v>
      </c>
      <c r="D370" s="323">
        <v>0.1</v>
      </c>
      <c r="E370" s="324">
        <v>999</v>
      </c>
      <c r="F370" s="325">
        <f t="shared" si="23"/>
        <v>99.9</v>
      </c>
      <c r="G370" s="393" t="s">
        <v>568</v>
      </c>
    </row>
    <row r="371" spans="1:7">
      <c r="A371" s="390"/>
      <c r="B371" s="321" t="s">
        <v>552</v>
      </c>
      <c r="C371" s="322" t="s">
        <v>553</v>
      </c>
      <c r="D371" s="323">
        <v>0.16800000000000001</v>
      </c>
      <c r="E371" s="324">
        <v>2498</v>
      </c>
      <c r="F371" s="325">
        <f t="shared" si="23"/>
        <v>419.66400000000004</v>
      </c>
      <c r="G371" s="393" t="s">
        <v>568</v>
      </c>
    </row>
    <row r="372" spans="1:7">
      <c r="A372" s="390"/>
      <c r="B372" s="321" t="s">
        <v>532</v>
      </c>
      <c r="C372" s="322" t="s">
        <v>102</v>
      </c>
      <c r="D372" s="323">
        <v>1</v>
      </c>
      <c r="E372" s="324"/>
      <c r="F372" s="325">
        <f>SUM(F368:F371)</f>
        <v>961.10599999999999</v>
      </c>
      <c r="G372" s="393"/>
    </row>
    <row r="373" spans="1:7">
      <c r="A373" s="390"/>
      <c r="B373" s="321"/>
      <c r="C373" s="322"/>
      <c r="D373" s="323"/>
      <c r="E373" s="324"/>
      <c r="F373" s="325"/>
      <c r="G373" s="396"/>
    </row>
    <row r="374" spans="1:7">
      <c r="A374" s="390"/>
      <c r="B374" s="668"/>
      <c r="C374" s="669"/>
      <c r="D374" s="668" t="s">
        <v>619</v>
      </c>
      <c r="E374" s="669"/>
      <c r="F374" s="673">
        <f>ROUND(F372,0)</f>
        <v>961</v>
      </c>
      <c r="G374" s="673"/>
    </row>
    <row r="375" spans="1:7">
      <c r="A375" s="390"/>
      <c r="B375" s="670"/>
      <c r="C375" s="671"/>
      <c r="D375" s="670"/>
      <c r="E375" s="671"/>
      <c r="F375" s="674"/>
      <c r="G375" s="674"/>
    </row>
    <row r="376" spans="1:7">
      <c r="A376" s="270" t="s">
        <v>630</v>
      </c>
      <c r="B376" s="662" t="s">
        <v>575</v>
      </c>
      <c r="C376" s="663"/>
      <c r="D376" s="664" t="s">
        <v>576</v>
      </c>
      <c r="E376" s="665"/>
      <c r="F376" s="666"/>
      <c r="G376" s="667"/>
    </row>
    <row r="377" spans="1:7">
      <c r="A377" s="390"/>
      <c r="B377" s="392" t="s">
        <v>548</v>
      </c>
      <c r="C377" s="392" t="s">
        <v>0</v>
      </c>
      <c r="D377" s="392" t="s">
        <v>549</v>
      </c>
      <c r="E377" s="392" t="s">
        <v>220</v>
      </c>
      <c r="F377" s="392" t="s">
        <v>550</v>
      </c>
      <c r="G377" s="392" t="s">
        <v>551</v>
      </c>
    </row>
    <row r="378" spans="1:7">
      <c r="A378" s="390"/>
      <c r="B378" s="321" t="s">
        <v>579</v>
      </c>
      <c r="C378" s="322" t="s">
        <v>126</v>
      </c>
      <c r="D378" s="323">
        <v>1</v>
      </c>
      <c r="E378" s="324">
        <v>92934.86</v>
      </c>
      <c r="F378" s="325">
        <v>92934.86</v>
      </c>
      <c r="G378" s="398" t="s">
        <v>574</v>
      </c>
    </row>
    <row r="379" spans="1:7">
      <c r="A379" s="390"/>
      <c r="B379" s="321" t="s">
        <v>580</v>
      </c>
      <c r="C379" s="322" t="s">
        <v>119</v>
      </c>
      <c r="D379" s="323">
        <v>1</v>
      </c>
      <c r="E379" s="324">
        <v>17608.71</v>
      </c>
      <c r="F379" s="325">
        <v>17608.71</v>
      </c>
      <c r="G379" s="398" t="s">
        <v>574</v>
      </c>
    </row>
    <row r="380" spans="1:7">
      <c r="A380" s="390"/>
      <c r="B380" s="321" t="s">
        <v>581</v>
      </c>
      <c r="C380" s="322" t="s">
        <v>119</v>
      </c>
      <c r="D380" s="323">
        <v>1</v>
      </c>
      <c r="E380" s="324">
        <v>9782.6200000000008</v>
      </c>
      <c r="F380" s="325">
        <v>9782.6200000000008</v>
      </c>
      <c r="G380" s="398" t="s">
        <v>574</v>
      </c>
    </row>
    <row r="381" spans="1:7">
      <c r="A381" s="390"/>
      <c r="B381" s="321" t="s">
        <v>582</v>
      </c>
      <c r="C381" s="322" t="s">
        <v>11</v>
      </c>
      <c r="D381" s="323">
        <v>285</v>
      </c>
      <c r="E381" s="324">
        <v>176.08</v>
      </c>
      <c r="F381" s="325">
        <v>50182.8</v>
      </c>
      <c r="G381" s="398" t="s">
        <v>574</v>
      </c>
    </row>
    <row r="382" spans="1:7">
      <c r="A382" s="390"/>
      <c r="B382" s="321" t="s">
        <v>583</v>
      </c>
      <c r="C382" s="322" t="s">
        <v>11</v>
      </c>
      <c r="D382" s="323">
        <v>370</v>
      </c>
      <c r="E382" s="324">
        <v>127.17</v>
      </c>
      <c r="F382" s="325">
        <v>47052.9</v>
      </c>
      <c r="G382" s="398" t="s">
        <v>574</v>
      </c>
    </row>
    <row r="383" spans="1:7">
      <c r="A383" s="390"/>
      <c r="B383" s="321" t="s">
        <v>584</v>
      </c>
      <c r="C383" s="322" t="s">
        <v>585</v>
      </c>
      <c r="D383" s="323">
        <v>1</v>
      </c>
      <c r="E383" s="324">
        <v>16630.45</v>
      </c>
      <c r="F383" s="325">
        <v>16630.45</v>
      </c>
      <c r="G383" s="398" t="s">
        <v>574</v>
      </c>
    </row>
    <row r="384" spans="1:7">
      <c r="A384" s="390"/>
      <c r="B384" s="321" t="s">
        <v>586</v>
      </c>
      <c r="C384" s="322" t="s">
        <v>119</v>
      </c>
      <c r="D384" s="323">
        <v>1</v>
      </c>
      <c r="E384" s="324">
        <v>19565.23</v>
      </c>
      <c r="F384" s="325">
        <v>19565.23</v>
      </c>
      <c r="G384" s="398" t="s">
        <v>574</v>
      </c>
    </row>
    <row r="385" spans="1:7">
      <c r="A385" s="390"/>
      <c r="B385" s="321" t="s">
        <v>587</v>
      </c>
      <c r="C385" s="322" t="s">
        <v>119</v>
      </c>
      <c r="D385" s="323">
        <v>1</v>
      </c>
      <c r="E385" s="324">
        <v>14677.43</v>
      </c>
      <c r="F385" s="325">
        <v>14677.43</v>
      </c>
      <c r="G385" s="398" t="s">
        <v>574</v>
      </c>
    </row>
    <row r="386" spans="1:7">
      <c r="A386" s="390"/>
      <c r="B386" s="321" t="s">
        <v>532</v>
      </c>
      <c r="C386" s="322" t="s">
        <v>119</v>
      </c>
      <c r="D386" s="323">
        <v>1</v>
      </c>
      <c r="E386" s="396"/>
      <c r="F386" s="325">
        <v>268435</v>
      </c>
      <c r="G386" s="396"/>
    </row>
    <row r="387" spans="1:7">
      <c r="A387" s="390"/>
      <c r="B387" s="396"/>
      <c r="C387" s="397"/>
      <c r="D387" s="396"/>
      <c r="E387" s="396"/>
      <c r="F387" s="396"/>
      <c r="G387" s="396"/>
    </row>
    <row r="388" spans="1:7">
      <c r="A388" s="390"/>
      <c r="B388" s="668"/>
      <c r="C388" s="669"/>
      <c r="D388" s="672" t="s">
        <v>578</v>
      </c>
      <c r="E388" s="672"/>
      <c r="F388" s="675">
        <v>268435</v>
      </c>
      <c r="G388" s="675"/>
    </row>
    <row r="389" spans="1:7">
      <c r="A389" s="390"/>
      <c r="B389" s="670"/>
      <c r="C389" s="671"/>
      <c r="D389" s="672"/>
      <c r="E389" s="672"/>
      <c r="F389" s="675"/>
      <c r="G389" s="675"/>
    </row>
    <row r="390" spans="1:7">
      <c r="A390" s="270" t="s">
        <v>701</v>
      </c>
      <c r="B390" s="662" t="s">
        <v>702</v>
      </c>
      <c r="C390" s="663"/>
      <c r="D390" s="664" t="s">
        <v>618</v>
      </c>
      <c r="E390" s="665"/>
      <c r="F390" s="666"/>
      <c r="G390" s="667"/>
    </row>
    <row r="391" spans="1:7">
      <c r="A391" s="390"/>
      <c r="B391" s="392" t="s">
        <v>548</v>
      </c>
      <c r="C391" s="392" t="s">
        <v>0</v>
      </c>
      <c r="D391" s="392" t="s">
        <v>549</v>
      </c>
      <c r="E391" s="392" t="s">
        <v>220</v>
      </c>
      <c r="F391" s="392" t="s">
        <v>550</v>
      </c>
      <c r="G391" s="392" t="s">
        <v>551</v>
      </c>
    </row>
    <row r="392" spans="1:7">
      <c r="A392" s="390"/>
      <c r="B392" s="321" t="s">
        <v>552</v>
      </c>
      <c r="C392" s="322" t="s">
        <v>553</v>
      </c>
      <c r="D392" s="323">
        <v>0.11</v>
      </c>
      <c r="E392" s="324">
        <v>2498</v>
      </c>
      <c r="F392" s="325">
        <f t="shared" ref="F392:F394" si="24">D392*E392</f>
        <v>274.78000000000003</v>
      </c>
      <c r="G392" s="393" t="s">
        <v>568</v>
      </c>
    </row>
    <row r="393" spans="1:7">
      <c r="A393" s="390"/>
      <c r="B393" s="321" t="s">
        <v>204</v>
      </c>
      <c r="C393" s="322" t="s">
        <v>553</v>
      </c>
      <c r="D393" s="323">
        <v>0.13500000000000001</v>
      </c>
      <c r="E393" s="324">
        <v>1499</v>
      </c>
      <c r="F393" s="325">
        <f t="shared" si="24"/>
        <v>202.36500000000001</v>
      </c>
      <c r="G393" s="393" t="s">
        <v>568</v>
      </c>
    </row>
    <row r="394" spans="1:7">
      <c r="A394" s="390"/>
      <c r="B394" s="321" t="s">
        <v>725</v>
      </c>
      <c r="C394" s="322" t="s">
        <v>119</v>
      </c>
      <c r="D394" s="323">
        <v>1</v>
      </c>
      <c r="E394" s="324">
        <v>35</v>
      </c>
      <c r="F394" s="325">
        <f t="shared" si="24"/>
        <v>35</v>
      </c>
      <c r="G394" s="393" t="s">
        <v>568</v>
      </c>
    </row>
    <row r="395" spans="1:7">
      <c r="A395" s="390"/>
      <c r="B395" s="321" t="s">
        <v>532</v>
      </c>
      <c r="C395" s="322" t="s">
        <v>119</v>
      </c>
      <c r="D395" s="323">
        <v>1</v>
      </c>
      <c r="E395" s="396"/>
      <c r="F395" s="325">
        <f>SUM(F392:F394)</f>
        <v>512.14499999999998</v>
      </c>
      <c r="G395" s="396"/>
    </row>
    <row r="396" spans="1:7">
      <c r="A396" s="390"/>
      <c r="B396" s="396"/>
      <c r="C396" s="397"/>
      <c r="D396" s="396"/>
      <c r="E396" s="396"/>
      <c r="F396" s="396"/>
      <c r="G396" s="396"/>
    </row>
    <row r="397" spans="1:7">
      <c r="A397" s="390"/>
      <c r="B397" s="668"/>
      <c r="C397" s="669"/>
      <c r="D397" s="672" t="s">
        <v>619</v>
      </c>
      <c r="E397" s="672"/>
      <c r="F397" s="675">
        <f>ROUND(F395,0)</f>
        <v>512</v>
      </c>
      <c r="G397" s="675"/>
    </row>
    <row r="398" spans="1:7">
      <c r="A398" s="390"/>
      <c r="B398" s="670"/>
      <c r="C398" s="671"/>
      <c r="D398" s="672"/>
      <c r="E398" s="672"/>
      <c r="F398" s="675"/>
      <c r="G398" s="675"/>
    </row>
    <row r="399" spans="1:7">
      <c r="A399" s="270" t="s">
        <v>588</v>
      </c>
      <c r="B399" s="662" t="s">
        <v>573</v>
      </c>
      <c r="C399" s="663"/>
      <c r="D399" s="664" t="s">
        <v>569</v>
      </c>
      <c r="E399" s="665"/>
      <c r="F399" s="666"/>
      <c r="G399" s="667"/>
    </row>
    <row r="400" spans="1:7">
      <c r="A400" s="390"/>
      <c r="B400" s="392" t="s">
        <v>548</v>
      </c>
      <c r="C400" s="392" t="s">
        <v>0</v>
      </c>
      <c r="D400" s="392" t="s">
        <v>549</v>
      </c>
      <c r="E400" s="392" t="s">
        <v>220</v>
      </c>
      <c r="F400" s="392" t="s">
        <v>550</v>
      </c>
      <c r="G400" s="392" t="s">
        <v>551</v>
      </c>
    </row>
    <row r="401" spans="1:7">
      <c r="A401" s="390"/>
      <c r="B401" s="321" t="s">
        <v>572</v>
      </c>
      <c r="C401" s="322" t="s">
        <v>11</v>
      </c>
      <c r="D401" s="323">
        <v>1</v>
      </c>
      <c r="E401" s="324">
        <v>1076</v>
      </c>
      <c r="F401" s="325">
        <v>1076</v>
      </c>
      <c r="G401" s="398" t="s">
        <v>574</v>
      </c>
    </row>
    <row r="402" spans="1:7">
      <c r="A402" s="390"/>
      <c r="B402" s="321" t="s">
        <v>14</v>
      </c>
      <c r="C402" s="322" t="s">
        <v>11</v>
      </c>
      <c r="D402" s="323">
        <v>1</v>
      </c>
      <c r="E402" s="396"/>
      <c r="F402" s="325">
        <v>1076</v>
      </c>
      <c r="G402" s="396"/>
    </row>
    <row r="403" spans="1:7">
      <c r="A403" s="390"/>
      <c r="B403" s="396"/>
      <c r="C403" s="397"/>
      <c r="D403" s="396"/>
      <c r="E403" s="396"/>
      <c r="F403" s="396"/>
      <c r="G403" s="396"/>
    </row>
    <row r="404" spans="1:7">
      <c r="A404" s="390"/>
      <c r="B404" s="668"/>
      <c r="C404" s="669"/>
      <c r="D404" s="668" t="s">
        <v>577</v>
      </c>
      <c r="E404" s="669"/>
      <c r="F404" s="677">
        <v>1076</v>
      </c>
      <c r="G404" s="677"/>
    </row>
    <row r="405" spans="1:7">
      <c r="A405" s="390"/>
      <c r="B405" s="670"/>
      <c r="C405" s="671"/>
      <c r="D405" s="670"/>
      <c r="E405" s="671"/>
      <c r="F405" s="678"/>
      <c r="G405" s="678"/>
    </row>
    <row r="406" spans="1:7">
      <c r="A406" s="270" t="s">
        <v>710</v>
      </c>
      <c r="B406" s="662" t="s">
        <v>713</v>
      </c>
      <c r="C406" s="663"/>
      <c r="D406" s="664" t="s">
        <v>711</v>
      </c>
      <c r="E406" s="665"/>
      <c r="F406" s="666"/>
      <c r="G406" s="667"/>
    </row>
    <row r="407" spans="1:7">
      <c r="A407" s="390"/>
      <c r="B407" s="392" t="s">
        <v>548</v>
      </c>
      <c r="C407" s="392" t="s">
        <v>0</v>
      </c>
      <c r="D407" s="392" t="s">
        <v>549</v>
      </c>
      <c r="E407" s="392" t="s">
        <v>220</v>
      </c>
      <c r="F407" s="392" t="s">
        <v>550</v>
      </c>
      <c r="G407" s="392" t="s">
        <v>551</v>
      </c>
    </row>
    <row r="408" spans="1:7">
      <c r="A408" s="390"/>
      <c r="B408" s="321" t="s">
        <v>706</v>
      </c>
      <c r="C408" s="322" t="s">
        <v>121</v>
      </c>
      <c r="D408" s="323">
        <v>1</v>
      </c>
      <c r="E408" s="324">
        <v>1334.4</v>
      </c>
      <c r="F408" s="325">
        <f t="shared" ref="F408:F409" si="25">D408*E408</f>
        <v>1334.4</v>
      </c>
      <c r="G408" s="398" t="s">
        <v>574</v>
      </c>
    </row>
    <row r="409" spans="1:7">
      <c r="A409" s="390"/>
      <c r="B409" s="321" t="s">
        <v>714</v>
      </c>
      <c r="C409" s="322" t="s">
        <v>119</v>
      </c>
      <c r="D409" s="323">
        <v>1</v>
      </c>
      <c r="E409" s="324">
        <v>1471.2</v>
      </c>
      <c r="F409" s="325">
        <f t="shared" si="25"/>
        <v>1471.2</v>
      </c>
      <c r="G409" s="398" t="s">
        <v>574</v>
      </c>
    </row>
    <row r="410" spans="1:7">
      <c r="A410" s="390"/>
      <c r="B410" s="321" t="s">
        <v>532</v>
      </c>
      <c r="C410" s="322" t="s">
        <v>121</v>
      </c>
      <c r="D410" s="323">
        <v>1</v>
      </c>
      <c r="E410" s="396"/>
      <c r="F410" s="325">
        <f>SUM(F408:F409)</f>
        <v>2805.6000000000004</v>
      </c>
      <c r="G410" s="396"/>
    </row>
    <row r="411" spans="1:7">
      <c r="A411" s="390"/>
      <c r="B411" s="396"/>
      <c r="C411" s="397"/>
      <c r="D411" s="396"/>
      <c r="E411" s="396"/>
      <c r="F411" s="396"/>
      <c r="G411" s="396"/>
    </row>
    <row r="412" spans="1:7">
      <c r="A412" s="390"/>
      <c r="B412" s="668"/>
      <c r="C412" s="669"/>
      <c r="D412" s="668" t="s">
        <v>712</v>
      </c>
      <c r="E412" s="669"/>
      <c r="F412" s="677">
        <v>2806</v>
      </c>
      <c r="G412" s="677"/>
    </row>
    <row r="413" spans="1:7">
      <c r="A413" s="390"/>
      <c r="B413" s="670"/>
      <c r="C413" s="671"/>
      <c r="D413" s="670"/>
      <c r="E413" s="671"/>
      <c r="F413" s="678"/>
      <c r="G413" s="678"/>
    </row>
    <row r="414" spans="1:7">
      <c r="A414" s="270" t="s">
        <v>715</v>
      </c>
      <c r="B414" s="406" t="s">
        <v>718</v>
      </c>
      <c r="C414" s="407"/>
      <c r="D414" s="408" t="s">
        <v>711</v>
      </c>
      <c r="E414" s="409"/>
      <c r="F414" s="399"/>
      <c r="G414" s="400"/>
    </row>
    <row r="415" spans="1:7">
      <c r="A415" s="390"/>
      <c r="B415" s="392" t="s">
        <v>548</v>
      </c>
      <c r="C415" s="392" t="s">
        <v>0</v>
      </c>
      <c r="D415" s="392" t="s">
        <v>549</v>
      </c>
      <c r="E415" s="392" t="s">
        <v>220</v>
      </c>
      <c r="F415" s="392" t="s">
        <v>550</v>
      </c>
      <c r="G415" s="392" t="s">
        <v>551</v>
      </c>
    </row>
    <row r="416" spans="1:7">
      <c r="A416" s="390"/>
      <c r="B416" s="321" t="s">
        <v>707</v>
      </c>
      <c r="C416" s="322" t="s">
        <v>121</v>
      </c>
      <c r="D416" s="323">
        <v>1</v>
      </c>
      <c r="E416" s="324">
        <v>1960.89</v>
      </c>
      <c r="F416" s="325">
        <f t="shared" ref="F416:F417" si="26">D416*E416</f>
        <v>1960.89</v>
      </c>
      <c r="G416" s="398" t="s">
        <v>574</v>
      </c>
    </row>
    <row r="417" spans="1:7">
      <c r="A417" s="390"/>
      <c r="B417" s="321" t="s">
        <v>714</v>
      </c>
      <c r="C417" s="322" t="s">
        <v>119</v>
      </c>
      <c r="D417" s="323">
        <v>1</v>
      </c>
      <c r="E417" s="324">
        <v>1471.2</v>
      </c>
      <c r="F417" s="325">
        <f t="shared" si="26"/>
        <v>1471.2</v>
      </c>
      <c r="G417" s="398" t="s">
        <v>574</v>
      </c>
    </row>
    <row r="418" spans="1:7">
      <c r="A418" s="390"/>
      <c r="B418" s="321" t="s">
        <v>532</v>
      </c>
      <c r="C418" s="322" t="s">
        <v>121</v>
      </c>
      <c r="D418" s="323">
        <v>1</v>
      </c>
      <c r="E418" s="396"/>
      <c r="F418" s="325">
        <f>SUM(F416:F417)</f>
        <v>3432.09</v>
      </c>
      <c r="G418" s="396"/>
    </row>
    <row r="419" spans="1:7">
      <c r="A419" s="390"/>
      <c r="B419" s="396"/>
      <c r="C419" s="397"/>
      <c r="D419" s="396"/>
      <c r="E419" s="396"/>
      <c r="F419" s="396"/>
      <c r="G419" s="396"/>
    </row>
    <row r="420" spans="1:7">
      <c r="A420" s="390"/>
      <c r="B420" s="271"/>
      <c r="C420" s="272"/>
      <c r="D420" s="271" t="s">
        <v>712</v>
      </c>
      <c r="E420" s="272"/>
      <c r="F420" s="410">
        <v>3432</v>
      </c>
      <c r="G420" s="410"/>
    </row>
    <row r="421" spans="1:7">
      <c r="A421" s="390"/>
      <c r="B421" s="273"/>
      <c r="C421" s="274"/>
      <c r="D421" s="273"/>
      <c r="E421" s="274"/>
      <c r="F421" s="411"/>
      <c r="G421" s="411"/>
    </row>
    <row r="422" spans="1:7">
      <c r="A422" s="270" t="s">
        <v>716</v>
      </c>
      <c r="B422" s="662" t="s">
        <v>719</v>
      </c>
      <c r="C422" s="663"/>
      <c r="D422" s="664" t="s">
        <v>711</v>
      </c>
      <c r="E422" s="665"/>
      <c r="F422" s="666"/>
      <c r="G422" s="667"/>
    </row>
    <row r="423" spans="1:7">
      <c r="A423" s="390"/>
      <c r="B423" s="392" t="s">
        <v>548</v>
      </c>
      <c r="C423" s="392" t="s">
        <v>0</v>
      </c>
      <c r="D423" s="392" t="s">
        <v>549</v>
      </c>
      <c r="E423" s="392" t="s">
        <v>220</v>
      </c>
      <c r="F423" s="392" t="s">
        <v>550</v>
      </c>
      <c r="G423" s="392" t="s">
        <v>551</v>
      </c>
    </row>
    <row r="424" spans="1:7">
      <c r="A424" s="390"/>
      <c r="B424" s="321" t="s">
        <v>708</v>
      </c>
      <c r="C424" s="322" t="s">
        <v>121</v>
      </c>
      <c r="D424" s="323">
        <v>1</v>
      </c>
      <c r="E424" s="324">
        <v>2942.33</v>
      </c>
      <c r="F424" s="325">
        <f t="shared" ref="F424:F425" si="27">D424*E424</f>
        <v>2942.33</v>
      </c>
      <c r="G424" s="398" t="s">
        <v>574</v>
      </c>
    </row>
    <row r="425" spans="1:7">
      <c r="A425" s="390"/>
      <c r="B425" s="321" t="s">
        <v>714</v>
      </c>
      <c r="C425" s="322" t="s">
        <v>119</v>
      </c>
      <c r="D425" s="323">
        <v>1</v>
      </c>
      <c r="E425" s="324">
        <v>1471.2</v>
      </c>
      <c r="F425" s="325">
        <f t="shared" si="27"/>
        <v>1471.2</v>
      </c>
      <c r="G425" s="398" t="s">
        <v>574</v>
      </c>
    </row>
    <row r="426" spans="1:7">
      <c r="A426" s="390"/>
      <c r="B426" s="321" t="s">
        <v>532</v>
      </c>
      <c r="C426" s="322" t="s">
        <v>121</v>
      </c>
      <c r="D426" s="323">
        <v>1</v>
      </c>
      <c r="E426" s="396"/>
      <c r="F426" s="325">
        <f>SUM(F424:F425)</f>
        <v>4413.53</v>
      </c>
      <c r="G426" s="396"/>
    </row>
    <row r="427" spans="1:7">
      <c r="A427" s="390"/>
      <c r="B427" s="396"/>
      <c r="C427" s="397"/>
      <c r="D427" s="396"/>
      <c r="E427" s="396"/>
      <c r="F427" s="396"/>
      <c r="G427" s="396"/>
    </row>
    <row r="428" spans="1:7">
      <c r="A428" s="390"/>
      <c r="B428" s="668"/>
      <c r="C428" s="669"/>
      <c r="D428" s="668" t="s">
        <v>712</v>
      </c>
      <c r="E428" s="669"/>
      <c r="F428" s="677">
        <v>4414</v>
      </c>
      <c r="G428" s="677"/>
    </row>
    <row r="429" spans="1:7">
      <c r="A429" s="390"/>
      <c r="B429" s="670"/>
      <c r="C429" s="671"/>
      <c r="D429" s="670"/>
      <c r="E429" s="671"/>
      <c r="F429" s="678"/>
      <c r="G429" s="678"/>
    </row>
    <row r="430" spans="1:7">
      <c r="A430" s="270" t="s">
        <v>717</v>
      </c>
      <c r="B430" s="662" t="s">
        <v>720</v>
      </c>
      <c r="C430" s="663"/>
      <c r="D430" s="664" t="s">
        <v>711</v>
      </c>
      <c r="E430" s="665"/>
      <c r="F430" s="666"/>
      <c r="G430" s="667"/>
    </row>
    <row r="431" spans="1:7">
      <c r="A431" s="390"/>
      <c r="B431" s="392" t="s">
        <v>548</v>
      </c>
      <c r="C431" s="392" t="s">
        <v>0</v>
      </c>
      <c r="D431" s="392" t="s">
        <v>549</v>
      </c>
      <c r="E431" s="392" t="s">
        <v>220</v>
      </c>
      <c r="F431" s="392" t="s">
        <v>550</v>
      </c>
      <c r="G431" s="392" t="s">
        <v>551</v>
      </c>
    </row>
    <row r="432" spans="1:7">
      <c r="A432" s="390"/>
      <c r="B432" s="321" t="s">
        <v>709</v>
      </c>
      <c r="C432" s="322" t="s">
        <v>121</v>
      </c>
      <c r="D432" s="323">
        <v>1</v>
      </c>
      <c r="E432" s="324">
        <v>1766.8</v>
      </c>
      <c r="F432" s="325">
        <f t="shared" ref="F432:F433" si="28">D432*E432</f>
        <v>1766.8</v>
      </c>
      <c r="G432" s="398" t="s">
        <v>574</v>
      </c>
    </row>
    <row r="433" spans="1:7">
      <c r="A433" s="390"/>
      <c r="B433" s="321" t="s">
        <v>714</v>
      </c>
      <c r="C433" s="322" t="s">
        <v>119</v>
      </c>
      <c r="D433" s="323">
        <v>1</v>
      </c>
      <c r="E433" s="324">
        <v>1471.2</v>
      </c>
      <c r="F433" s="325">
        <f t="shared" si="28"/>
        <v>1471.2</v>
      </c>
      <c r="G433" s="398" t="s">
        <v>574</v>
      </c>
    </row>
    <row r="434" spans="1:7">
      <c r="A434" s="390"/>
      <c r="B434" s="321" t="s">
        <v>532</v>
      </c>
      <c r="C434" s="322" t="s">
        <v>947</v>
      </c>
      <c r="D434" s="323">
        <v>1</v>
      </c>
      <c r="E434" s="396"/>
      <c r="F434" s="325">
        <f>SUM(F432:F433)</f>
        <v>3238</v>
      </c>
      <c r="G434" s="396"/>
    </row>
    <row r="435" spans="1:7">
      <c r="A435" s="390"/>
      <c r="B435" s="396"/>
      <c r="C435" s="397"/>
      <c r="D435" s="396"/>
      <c r="E435" s="396"/>
      <c r="F435" s="396"/>
      <c r="G435" s="396"/>
    </row>
    <row r="436" spans="1:7">
      <c r="A436" s="390"/>
      <c r="B436" s="668"/>
      <c r="C436" s="669"/>
      <c r="D436" s="668" t="s">
        <v>712</v>
      </c>
      <c r="E436" s="669"/>
      <c r="F436" s="677">
        <v>3238</v>
      </c>
      <c r="G436" s="677"/>
    </row>
    <row r="437" spans="1:7">
      <c r="A437" s="390"/>
      <c r="B437" s="670"/>
      <c r="C437" s="671"/>
      <c r="D437" s="670"/>
      <c r="E437" s="671"/>
      <c r="F437" s="678"/>
      <c r="G437" s="678"/>
    </row>
  </sheetData>
  <mergeCells count="219">
    <mergeCell ref="B406:C406"/>
    <mergeCell ref="D406:E406"/>
    <mergeCell ref="F406:G406"/>
    <mergeCell ref="B412:C413"/>
    <mergeCell ref="D412:E413"/>
    <mergeCell ref="F412:F413"/>
    <mergeCell ref="G412:G413"/>
    <mergeCell ref="B430:C430"/>
    <mergeCell ref="D430:E430"/>
    <mergeCell ref="F430:G430"/>
    <mergeCell ref="B436:C437"/>
    <mergeCell ref="D436:E437"/>
    <mergeCell ref="F436:F437"/>
    <mergeCell ref="G436:G437"/>
    <mergeCell ref="B422:C422"/>
    <mergeCell ref="D422:E422"/>
    <mergeCell ref="F422:G422"/>
    <mergeCell ref="B428:C429"/>
    <mergeCell ref="D428:E429"/>
    <mergeCell ref="F428:F429"/>
    <mergeCell ref="G428:G429"/>
    <mergeCell ref="B399:C399"/>
    <mergeCell ref="D399:E399"/>
    <mergeCell ref="F399:G399"/>
    <mergeCell ref="B390:C390"/>
    <mergeCell ref="D390:E390"/>
    <mergeCell ref="F390:G390"/>
    <mergeCell ref="A3:H3"/>
    <mergeCell ref="A2:H2"/>
    <mergeCell ref="A1:H1"/>
    <mergeCell ref="D315:E315"/>
    <mergeCell ref="D321:E322"/>
    <mergeCell ref="F321:F322"/>
    <mergeCell ref="G321:G322"/>
    <mergeCell ref="B354:C354"/>
    <mergeCell ref="D354:E354"/>
    <mergeCell ref="B397:C398"/>
    <mergeCell ref="D397:E398"/>
    <mergeCell ref="F397:F398"/>
    <mergeCell ref="G397:G398"/>
    <mergeCell ref="B366:C366"/>
    <mergeCell ref="D366:E366"/>
    <mergeCell ref="B352:C353"/>
    <mergeCell ref="D352:E353"/>
    <mergeCell ref="F352:F353"/>
    <mergeCell ref="G352:G353"/>
    <mergeCell ref="B297:C297"/>
    <mergeCell ref="D297:E297"/>
    <mergeCell ref="D305:E306"/>
    <mergeCell ref="F305:F306"/>
    <mergeCell ref="G305:G306"/>
    <mergeCell ref="B364:C365"/>
    <mergeCell ref="D364:E365"/>
    <mergeCell ref="F364:F365"/>
    <mergeCell ref="G364:G365"/>
    <mergeCell ref="B323:C323"/>
    <mergeCell ref="D323:E323"/>
    <mergeCell ref="D329:E330"/>
    <mergeCell ref="F329:F330"/>
    <mergeCell ref="G329:G330"/>
    <mergeCell ref="D313:E314"/>
    <mergeCell ref="F313:F314"/>
    <mergeCell ref="G313:G314"/>
    <mergeCell ref="B315:C315"/>
    <mergeCell ref="B172:C172"/>
    <mergeCell ref="D172:E172"/>
    <mergeCell ref="D180:E181"/>
    <mergeCell ref="F180:F181"/>
    <mergeCell ref="G180:G181"/>
    <mergeCell ref="B307:C307"/>
    <mergeCell ref="D307:E307"/>
    <mergeCell ref="G345:G346"/>
    <mergeCell ref="B347:C347"/>
    <mergeCell ref="D347:E347"/>
    <mergeCell ref="B331:C331"/>
    <mergeCell ref="D331:E331"/>
    <mergeCell ref="B345:C346"/>
    <mergeCell ref="D345:E346"/>
    <mergeCell ref="F345:F346"/>
    <mergeCell ref="B280:C280"/>
    <mergeCell ref="D280:E280"/>
    <mergeCell ref="D295:E296"/>
    <mergeCell ref="F295:F296"/>
    <mergeCell ref="F262:F263"/>
    <mergeCell ref="G262:G263"/>
    <mergeCell ref="G278:G279"/>
    <mergeCell ref="G295:G296"/>
    <mergeCell ref="B262:C263"/>
    <mergeCell ref="D262:E263"/>
    <mergeCell ref="D264:E264"/>
    <mergeCell ref="D278:E279"/>
    <mergeCell ref="F278:F279"/>
    <mergeCell ref="B264:C264"/>
    <mergeCell ref="B245:C246"/>
    <mergeCell ref="D245:E246"/>
    <mergeCell ref="F245:F246"/>
    <mergeCell ref="G245:G246"/>
    <mergeCell ref="B247:C247"/>
    <mergeCell ref="D247:E247"/>
    <mergeCell ref="D196:E196"/>
    <mergeCell ref="F196:G196"/>
    <mergeCell ref="B229:C230"/>
    <mergeCell ref="D229:E230"/>
    <mergeCell ref="F229:F230"/>
    <mergeCell ref="G229:G230"/>
    <mergeCell ref="B231:C231"/>
    <mergeCell ref="D231:E231"/>
    <mergeCell ref="F231:G231"/>
    <mergeCell ref="B215:C216"/>
    <mergeCell ref="D215:E216"/>
    <mergeCell ref="F215:F216"/>
    <mergeCell ref="G215:G216"/>
    <mergeCell ref="B217:C217"/>
    <mergeCell ref="D217:E217"/>
    <mergeCell ref="F217:G217"/>
    <mergeCell ref="F159:G159"/>
    <mergeCell ref="B404:C405"/>
    <mergeCell ref="D404:E405"/>
    <mergeCell ref="F404:F405"/>
    <mergeCell ref="G404:G405"/>
    <mergeCell ref="B376:C376"/>
    <mergeCell ref="D376:E376"/>
    <mergeCell ref="F376:G376"/>
    <mergeCell ref="B170:C171"/>
    <mergeCell ref="D170:E171"/>
    <mergeCell ref="F170:F171"/>
    <mergeCell ref="G170:G171"/>
    <mergeCell ref="B182:C182"/>
    <mergeCell ref="D182:E182"/>
    <mergeCell ref="F182:G182"/>
    <mergeCell ref="B388:C389"/>
    <mergeCell ref="D388:E389"/>
    <mergeCell ref="B201:C202"/>
    <mergeCell ref="D201:E202"/>
    <mergeCell ref="F201:F202"/>
    <mergeCell ref="G201:G202"/>
    <mergeCell ref="B203:C203"/>
    <mergeCell ref="D203:E203"/>
    <mergeCell ref="F203:G203"/>
    <mergeCell ref="F388:F389"/>
    <mergeCell ref="G388:G389"/>
    <mergeCell ref="B194:C195"/>
    <mergeCell ref="D194:E195"/>
    <mergeCell ref="F194:F195"/>
    <mergeCell ref="G194:G195"/>
    <mergeCell ref="B196:C196"/>
    <mergeCell ref="F157:F158"/>
    <mergeCell ref="G157:G158"/>
    <mergeCell ref="B159:C159"/>
    <mergeCell ref="D159:E159"/>
    <mergeCell ref="B374:C375"/>
    <mergeCell ref="D374:E375"/>
    <mergeCell ref="F374:F375"/>
    <mergeCell ref="G374:G375"/>
    <mergeCell ref="B157:C158"/>
    <mergeCell ref="D157:E158"/>
    <mergeCell ref="B187:C188"/>
    <mergeCell ref="D187:E188"/>
    <mergeCell ref="F187:F188"/>
    <mergeCell ref="G187:G188"/>
    <mergeCell ref="B189:C189"/>
    <mergeCell ref="D189:E189"/>
    <mergeCell ref="F189:G189"/>
    <mergeCell ref="B150:C151"/>
    <mergeCell ref="B152:C152"/>
    <mergeCell ref="D152:E152"/>
    <mergeCell ref="F152:G152"/>
    <mergeCell ref="D150:E151"/>
    <mergeCell ref="F150:F151"/>
    <mergeCell ref="G150:G151"/>
    <mergeCell ref="D116:E117"/>
    <mergeCell ref="F116:F117"/>
    <mergeCell ref="B118:C118"/>
    <mergeCell ref="B136:C136"/>
    <mergeCell ref="D136:E136"/>
    <mergeCell ref="F136:G136"/>
    <mergeCell ref="D118:E118"/>
    <mergeCell ref="D134:E135"/>
    <mergeCell ref="F134:F135"/>
    <mergeCell ref="G134:G135"/>
    <mergeCell ref="G116:G117"/>
    <mergeCell ref="B4:G4"/>
    <mergeCell ref="D37:E37"/>
    <mergeCell ref="F37:G37"/>
    <mergeCell ref="B50:C51"/>
    <mergeCell ref="D50:E51"/>
    <mergeCell ref="F50:F51"/>
    <mergeCell ref="G50:G51"/>
    <mergeCell ref="B52:C52"/>
    <mergeCell ref="D52:E52"/>
    <mergeCell ref="F52:G52"/>
    <mergeCell ref="B68:C69"/>
    <mergeCell ref="D68:E69"/>
    <mergeCell ref="F68:F69"/>
    <mergeCell ref="G68:G69"/>
    <mergeCell ref="B5:C5"/>
    <mergeCell ref="D5:E5"/>
    <mergeCell ref="F5:G5"/>
    <mergeCell ref="B19:C20"/>
    <mergeCell ref="D19:E20"/>
    <mergeCell ref="F19:F20"/>
    <mergeCell ref="G19:G20"/>
    <mergeCell ref="B21:C21"/>
    <mergeCell ref="D21:E21"/>
    <mergeCell ref="F21:G21"/>
    <mergeCell ref="B35:C36"/>
    <mergeCell ref="D35:E36"/>
    <mergeCell ref="F35:F36"/>
    <mergeCell ref="G35:G36"/>
    <mergeCell ref="B37:C37"/>
    <mergeCell ref="B70:C70"/>
    <mergeCell ref="D70:E70"/>
    <mergeCell ref="F70:G70"/>
    <mergeCell ref="B88:C89"/>
    <mergeCell ref="D88:E89"/>
    <mergeCell ref="F88:F89"/>
    <mergeCell ref="G88:G89"/>
    <mergeCell ref="B90:C90"/>
    <mergeCell ref="D90:E90"/>
  </mergeCells>
  <phoneticPr fontId="5" type="noConversion"/>
  <printOptions horizontalCentered="1"/>
  <pageMargins left="0.25" right="0.25" top="0.75" bottom="0.75" header="0.3" footer="0.3"/>
  <pageSetup paperSize="9" orientation="portrait" r:id="rId1"/>
  <headerFooter>
    <oddFooter>&amp;L&amp;"標楷體,標準"&amp;11編製                校核</oddFooter>
  </headerFooter>
  <rowBreaks count="13" manualBreakCount="13">
    <brk id="36" max="16383" man="1"/>
    <brk id="69" max="7" man="1"/>
    <brk id="89" max="16383" man="1"/>
    <brk id="117" max="16383" man="1"/>
    <brk id="151" max="16383" man="1"/>
    <brk id="181" max="16383" man="1"/>
    <brk id="216" max="16383" man="1"/>
    <brk id="246" max="7" man="1"/>
    <brk id="279" max="16383" man="1"/>
    <brk id="314" max="16383" man="1"/>
    <brk id="346" max="16383" man="1"/>
    <brk id="375" max="7" man="1"/>
    <brk id="41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autoPageBreaks="0" fitToPage="1"/>
  </sheetPr>
  <dimension ref="B1:J392"/>
  <sheetViews>
    <sheetView showGridLines="0" tabSelected="1" showOutlineSymbols="0" view="pageBreakPreview" topLeftCell="A361" zoomScale="85" zoomScaleNormal="70" zoomScaleSheetLayoutView="85" workbookViewId="0">
      <selection activeCell="G367" sqref="G367"/>
    </sheetView>
  </sheetViews>
  <sheetFormatPr defaultColWidth="10.875" defaultRowHeight="20.100000000000001" customHeight="1"/>
  <cols>
    <col min="1" max="1" width="10.875" style="23" customWidth="1"/>
    <col min="2" max="2" width="34" style="32" customWidth="1"/>
    <col min="3" max="3" width="10.5" style="36" customWidth="1"/>
    <col min="4" max="4" width="52.125" style="36" customWidth="1"/>
    <col min="5" max="5" width="13.375" style="35" bestFit="1" customWidth="1"/>
    <col min="6" max="6" width="18.5" style="32" customWidth="1"/>
    <col min="7" max="7" width="26.625" style="318" customWidth="1"/>
    <col min="8" max="8" width="12" style="23" bestFit="1" customWidth="1"/>
    <col min="9" max="9" width="46.875" style="23" customWidth="1"/>
    <col min="10" max="16384" width="10.875" style="23"/>
  </cols>
  <sheetData>
    <row r="1" spans="2:7" ht="20.100000000000001" customHeight="1">
      <c r="B1" s="694" t="s">
        <v>12</v>
      </c>
      <c r="C1" s="694"/>
      <c r="D1" s="694"/>
      <c r="E1" s="695"/>
      <c r="F1" s="695"/>
      <c r="G1" s="319"/>
    </row>
    <row r="2" spans="2:7" ht="20.100000000000001" customHeight="1">
      <c r="B2" s="696" t="s">
        <v>13</v>
      </c>
      <c r="C2" s="696"/>
      <c r="D2" s="696"/>
      <c r="E2" s="696"/>
      <c r="F2" s="696"/>
      <c r="G2" s="319"/>
    </row>
    <row r="3" spans="2:7" ht="20.100000000000001" customHeight="1">
      <c r="B3" s="37" t="str">
        <f>'Sheet4 (2)'!A3</f>
        <v>工程名稱：濁水溪許厝寮堤段整體環境改善工程</v>
      </c>
      <c r="C3" s="37"/>
      <c r="D3" s="37"/>
      <c r="F3" s="38"/>
      <c r="G3" s="319"/>
    </row>
    <row r="4" spans="2:7" ht="20.100000000000001" customHeight="1">
      <c r="B4" s="37" t="str">
        <f>'Sheet4 (2)'!A4</f>
        <v>施工地點：雲林縣麥寮鄉</v>
      </c>
      <c r="C4" s="39"/>
      <c r="D4" s="44"/>
      <c r="E4" s="40"/>
      <c r="F4" s="38"/>
      <c r="G4" s="319"/>
    </row>
    <row r="5" spans="2:7" ht="27.75" customHeight="1">
      <c r="B5" s="215" t="s">
        <v>340</v>
      </c>
      <c r="C5" s="215" t="s">
        <v>341</v>
      </c>
      <c r="D5" s="260" t="s">
        <v>507</v>
      </c>
      <c r="E5" s="215" t="s">
        <v>342</v>
      </c>
      <c r="F5" s="215" t="s">
        <v>343</v>
      </c>
      <c r="G5" s="319"/>
    </row>
    <row r="6" spans="2:7" s="22" customFormat="1" ht="21" customHeight="1">
      <c r="B6" s="691" t="s">
        <v>344</v>
      </c>
      <c r="C6" s="710" t="s">
        <v>345</v>
      </c>
      <c r="D6" s="217" t="s">
        <v>346</v>
      </c>
      <c r="E6" s="218">
        <f>ROUND(10669.76+1165.28,2)</f>
        <v>11835.04</v>
      </c>
      <c r="F6" s="219" t="s">
        <v>347</v>
      </c>
      <c r="G6" s="319"/>
    </row>
    <row r="7" spans="2:7" s="22" customFormat="1" ht="21" customHeight="1">
      <c r="B7" s="693"/>
      <c r="C7" s="711"/>
      <c r="D7" s="220" t="s">
        <v>348</v>
      </c>
      <c r="E7" s="218">
        <f>ROUND(608+7264,2)</f>
        <v>7872</v>
      </c>
      <c r="F7" s="219" t="s">
        <v>349</v>
      </c>
      <c r="G7" s="319"/>
    </row>
    <row r="8" spans="2:7" s="22" customFormat="1" ht="21" customHeight="1">
      <c r="B8" s="221"/>
      <c r="C8" s="711"/>
      <c r="D8" s="220" t="s">
        <v>350</v>
      </c>
      <c r="E8" s="218">
        <f>ROUND(4898.69+4894.85,2)</f>
        <v>9793.5400000000009</v>
      </c>
      <c r="F8" s="219" t="s">
        <v>351</v>
      </c>
      <c r="G8" s="319"/>
    </row>
    <row r="9" spans="2:7" s="22" customFormat="1" ht="21" customHeight="1">
      <c r="B9" s="222"/>
      <c r="C9" s="711"/>
      <c r="D9" s="223">
        <v>13154.75</v>
      </c>
      <c r="E9" s="218">
        <f>ROUND(D9,2)</f>
        <v>13154.75</v>
      </c>
      <c r="F9" s="219" t="s">
        <v>352</v>
      </c>
      <c r="G9" s="319"/>
    </row>
    <row r="10" spans="2:7" s="25" customFormat="1" ht="21" customHeight="1">
      <c r="B10" s="222"/>
      <c r="C10" s="711"/>
      <c r="D10" s="224">
        <v>9049.91</v>
      </c>
      <c r="E10" s="218">
        <f>ROUND(D10,2)</f>
        <v>9049.91</v>
      </c>
      <c r="F10" s="219" t="s">
        <v>353</v>
      </c>
      <c r="G10" s="319"/>
    </row>
    <row r="11" spans="2:7" s="25" customFormat="1" ht="21" customHeight="1">
      <c r="B11" s="222"/>
      <c r="C11" s="711"/>
      <c r="D11" s="279" t="s">
        <v>777</v>
      </c>
      <c r="E11" s="218">
        <f>ROUND(2235+1180,2)</f>
        <v>3415</v>
      </c>
      <c r="F11" s="281" t="s">
        <v>776</v>
      </c>
      <c r="G11" s="319"/>
    </row>
    <row r="12" spans="2:7" s="25" customFormat="1" ht="21" customHeight="1">
      <c r="B12" s="222"/>
      <c r="C12" s="711"/>
      <c r="D12" s="226" t="s">
        <v>354</v>
      </c>
      <c r="E12" s="282">
        <f>ROUND(SUM(E6:E10),0)</f>
        <v>51705</v>
      </c>
      <c r="F12" s="281"/>
      <c r="G12" s="319"/>
    </row>
    <row r="13" spans="2:7" s="25" customFormat="1" ht="21" customHeight="1">
      <c r="B13" s="225"/>
      <c r="C13" s="712"/>
      <c r="D13" s="226" t="s">
        <v>354</v>
      </c>
      <c r="E13" s="280">
        <f>ROUND(SUM(E6:E11),0)</f>
        <v>55120</v>
      </c>
      <c r="F13" s="219"/>
      <c r="G13" s="319"/>
    </row>
    <row r="14" spans="2:7" s="25" customFormat="1" ht="21" customHeight="1">
      <c r="B14" s="222"/>
      <c r="C14" s="216"/>
      <c r="D14" s="226"/>
      <c r="E14" s="218"/>
      <c r="F14" s="219"/>
      <c r="G14" s="319"/>
    </row>
    <row r="15" spans="2:7" s="22" customFormat="1" ht="21" customHeight="1">
      <c r="B15" s="687" t="s">
        <v>355</v>
      </c>
      <c r="C15" s="710" t="s">
        <v>356</v>
      </c>
      <c r="D15" s="306">
        <v>15531</v>
      </c>
      <c r="E15" s="282">
        <v>15531</v>
      </c>
      <c r="F15" s="286" t="s">
        <v>357</v>
      </c>
      <c r="G15" s="319"/>
    </row>
    <row r="16" spans="2:7" s="22" customFormat="1" ht="21" customHeight="1">
      <c r="B16" s="688"/>
      <c r="C16" s="711"/>
      <c r="D16" s="228">
        <v>448</v>
      </c>
      <c r="E16" s="218">
        <v>448</v>
      </c>
      <c r="F16" s="229" t="s">
        <v>358</v>
      </c>
      <c r="G16" s="319"/>
    </row>
    <row r="17" spans="2:9" s="22" customFormat="1" ht="21" customHeight="1">
      <c r="B17" s="688"/>
      <c r="C17" s="711"/>
      <c r="D17" s="228" t="s">
        <v>359</v>
      </c>
      <c r="E17" s="218">
        <f>ROUND(16.8*3,2)</f>
        <v>50.4</v>
      </c>
      <c r="F17" s="219" t="s">
        <v>360</v>
      </c>
      <c r="G17" s="319"/>
    </row>
    <row r="18" spans="2:9" s="22" customFormat="1" ht="31.5" customHeight="1">
      <c r="B18" s="688"/>
      <c r="C18" s="711"/>
      <c r="D18" s="307" t="s">
        <v>936</v>
      </c>
      <c r="E18" s="280">
        <f>ROUND(((23.3+35.09)*40)+((29.03+20.71)*40)+(36.45*60)+(22.05*60),2)</f>
        <v>7835.2</v>
      </c>
      <c r="F18" s="281" t="s">
        <v>405</v>
      </c>
      <c r="G18" s="319"/>
    </row>
    <row r="19" spans="2:9" s="22" customFormat="1" ht="21" customHeight="1">
      <c r="B19" s="688"/>
      <c r="C19" s="711"/>
      <c r="D19" s="226" t="s">
        <v>354</v>
      </c>
      <c r="E19" s="282">
        <f>ROUND(SUM(E15:E17),0)</f>
        <v>16029</v>
      </c>
      <c r="F19" s="219"/>
      <c r="G19" s="319"/>
    </row>
    <row r="20" spans="2:9" s="22" customFormat="1" ht="21" customHeight="1">
      <c r="B20" s="689"/>
      <c r="C20" s="712"/>
      <c r="D20" s="226" t="s">
        <v>354</v>
      </c>
      <c r="E20" s="280">
        <f>ROUND(SUM(E16:E18),0)</f>
        <v>8334</v>
      </c>
      <c r="F20" s="219"/>
      <c r="G20" s="319"/>
    </row>
    <row r="21" spans="2:9" s="22" customFormat="1" ht="21" customHeight="1">
      <c r="B21" s="231"/>
      <c r="C21" s="216"/>
      <c r="D21" s="223"/>
      <c r="E21" s="218"/>
      <c r="F21" s="219"/>
      <c r="G21" s="319"/>
      <c r="I21" s="49"/>
    </row>
    <row r="22" spans="2:9" s="22" customFormat="1" ht="21" customHeight="1">
      <c r="B22" s="697" t="s">
        <v>361</v>
      </c>
      <c r="C22" s="710" t="s">
        <v>362</v>
      </c>
      <c r="D22" s="217">
        <v>4101</v>
      </c>
      <c r="E22" s="218">
        <v>4101</v>
      </c>
      <c r="F22" s="229" t="s">
        <v>363</v>
      </c>
      <c r="G22" s="319"/>
    </row>
    <row r="23" spans="2:9" s="22" customFormat="1" ht="21" customHeight="1">
      <c r="B23" s="698"/>
      <c r="C23" s="711"/>
      <c r="D23" s="228">
        <v>4037</v>
      </c>
      <c r="E23" s="218">
        <v>4037</v>
      </c>
      <c r="F23" s="229" t="s">
        <v>364</v>
      </c>
      <c r="G23" s="319"/>
    </row>
    <row r="24" spans="2:9" s="22" customFormat="1" ht="21" customHeight="1">
      <c r="B24" s="698"/>
      <c r="C24" s="711"/>
      <c r="D24" s="232">
        <v>7228</v>
      </c>
      <c r="E24" s="218">
        <v>7228</v>
      </c>
      <c r="F24" s="229" t="s">
        <v>358</v>
      </c>
      <c r="G24" s="319"/>
    </row>
    <row r="25" spans="2:9" s="22" customFormat="1" ht="21" customHeight="1">
      <c r="B25" s="698"/>
      <c r="C25" s="711"/>
      <c r="D25" s="228"/>
      <c r="E25" s="218"/>
      <c r="F25" s="219"/>
      <c r="G25" s="319"/>
    </row>
    <row r="26" spans="2:9" s="22" customFormat="1" ht="21" customHeight="1">
      <c r="B26" s="699"/>
      <c r="C26" s="712"/>
      <c r="D26" s="226" t="s">
        <v>354</v>
      </c>
      <c r="E26" s="218">
        <f>ROUND(SUM(E22:E25),0)</f>
        <v>15366</v>
      </c>
      <c r="F26" s="219"/>
      <c r="G26" s="319"/>
      <c r="I26" s="49"/>
    </row>
    <row r="27" spans="2:9" s="22" customFormat="1" ht="21" customHeight="1">
      <c r="B27" s="221"/>
      <c r="C27" s="216"/>
      <c r="D27" s="226"/>
      <c r="E27" s="218"/>
      <c r="F27" s="219"/>
      <c r="G27" s="319"/>
    </row>
    <row r="28" spans="2:9" s="22" customFormat="1" ht="31.5">
      <c r="B28" s="713" t="s">
        <v>365</v>
      </c>
      <c r="C28" s="710" t="s">
        <v>356</v>
      </c>
      <c r="D28" s="306" t="s">
        <v>935</v>
      </c>
      <c r="E28" s="282">
        <f>ROUND(((PI()*15*15+PI()*27*27+(PI()*15*15*PI()*27*27)^0.5)*6.2/3)+(12*389.56),2)</f>
        <v>13498.2</v>
      </c>
      <c r="F28" s="286" t="s">
        <v>405</v>
      </c>
      <c r="G28" s="319"/>
    </row>
    <row r="29" spans="2:9" s="22" customFormat="1" ht="31.5">
      <c r="B29" s="705"/>
      <c r="C29" s="711"/>
      <c r="D29" s="307" t="s">
        <v>1210</v>
      </c>
      <c r="E29" s="280">
        <v>7835</v>
      </c>
      <c r="F29" s="281" t="s">
        <v>353</v>
      </c>
      <c r="G29" s="319" t="s">
        <v>978</v>
      </c>
    </row>
    <row r="30" spans="2:9" s="22" customFormat="1" ht="21" customHeight="1">
      <c r="B30" s="705"/>
      <c r="C30" s="711"/>
      <c r="D30" s="226" t="s">
        <v>354</v>
      </c>
      <c r="E30" s="282">
        <f>ROUND(SUM(E28:E28),0)</f>
        <v>13498</v>
      </c>
      <c r="F30" s="219"/>
      <c r="G30" s="319"/>
    </row>
    <row r="31" spans="2:9" s="22" customFormat="1" ht="21" customHeight="1">
      <c r="B31" s="706"/>
      <c r="C31" s="712"/>
      <c r="D31" s="226" t="s">
        <v>354</v>
      </c>
      <c r="E31" s="280">
        <f>ROUND(SUM(E29:E29),0)</f>
        <v>7835</v>
      </c>
      <c r="F31" s="219"/>
      <c r="G31" s="319"/>
    </row>
    <row r="32" spans="2:9" s="42" customFormat="1" ht="21" customHeight="1">
      <c r="B32" s="231"/>
      <c r="C32" s="216"/>
      <c r="D32" s="223"/>
      <c r="E32" s="218"/>
      <c r="F32" s="219"/>
      <c r="G32" s="319"/>
    </row>
    <row r="33" spans="2:7" s="22" customFormat="1" ht="21" customHeight="1">
      <c r="B33" s="285" t="s">
        <v>366</v>
      </c>
      <c r="C33" s="714" t="s">
        <v>345</v>
      </c>
      <c r="D33" s="287" t="s">
        <v>367</v>
      </c>
      <c r="E33" s="282">
        <f>ROUND(6823*2,2)</f>
        <v>13646</v>
      </c>
      <c r="F33" s="286" t="s">
        <v>347</v>
      </c>
      <c r="G33" s="319"/>
    </row>
    <row r="34" spans="2:7" s="22" customFormat="1" ht="21" customHeight="1">
      <c r="B34" s="225"/>
      <c r="C34" s="715"/>
      <c r="D34" s="226" t="s">
        <v>354</v>
      </c>
      <c r="E34" s="282">
        <f>ROUND(SUM(E33:E33),0)</f>
        <v>13646</v>
      </c>
      <c r="F34" s="219"/>
      <c r="G34" s="319"/>
    </row>
    <row r="35" spans="2:7" s="22" customFormat="1" ht="21" customHeight="1">
      <c r="B35" s="235"/>
      <c r="C35" s="216"/>
      <c r="D35" s="226"/>
      <c r="E35" s="218"/>
      <c r="F35" s="219"/>
      <c r="G35" s="319"/>
    </row>
    <row r="36" spans="2:7" s="22" customFormat="1" ht="21" customHeight="1">
      <c r="B36" s="702" t="s">
        <v>1343</v>
      </c>
      <c r="C36" s="710" t="s">
        <v>362</v>
      </c>
      <c r="D36" s="232" t="s">
        <v>368</v>
      </c>
      <c r="E36" s="218">
        <f>ROUND(0.17*58,2)</f>
        <v>9.86</v>
      </c>
      <c r="F36" s="219" t="s">
        <v>369</v>
      </c>
      <c r="G36" s="319"/>
    </row>
    <row r="37" spans="2:7" s="22" customFormat="1" ht="21" customHeight="1">
      <c r="B37" s="703"/>
      <c r="C37" s="711"/>
      <c r="D37" s="232" t="s">
        <v>370</v>
      </c>
      <c r="E37" s="218">
        <f>ROUND(0.22*1,2)</f>
        <v>0.22</v>
      </c>
      <c r="F37" s="219" t="s">
        <v>371</v>
      </c>
      <c r="G37" s="319"/>
    </row>
    <row r="38" spans="2:7" s="22" customFormat="1" ht="21" customHeight="1">
      <c r="B38" s="703"/>
      <c r="C38" s="711"/>
      <c r="D38" s="288" t="s">
        <v>933</v>
      </c>
      <c r="E38" s="282">
        <f>ROUND(0.17*(84+95),2)</f>
        <v>30.43</v>
      </c>
      <c r="F38" s="286" t="s">
        <v>934</v>
      </c>
      <c r="G38" s="319"/>
    </row>
    <row r="39" spans="2:7" s="22" customFormat="1" ht="21" customHeight="1">
      <c r="B39" s="703"/>
      <c r="C39" s="711"/>
      <c r="D39" s="232">
        <v>0</v>
      </c>
      <c r="E39" s="218">
        <f>ROUND(0*16,2)</f>
        <v>0</v>
      </c>
      <c r="F39" s="219" t="s">
        <v>373</v>
      </c>
      <c r="G39" s="319" t="s">
        <v>969</v>
      </c>
    </row>
    <row r="40" spans="2:7" s="22" customFormat="1" ht="21" customHeight="1">
      <c r="B40" s="703"/>
      <c r="C40" s="711"/>
      <c r="D40" s="301" t="s">
        <v>932</v>
      </c>
      <c r="E40" s="280">
        <f>ROUND(2*0.31,2)</f>
        <v>0.62</v>
      </c>
      <c r="F40" s="281" t="s">
        <v>374</v>
      </c>
      <c r="G40" s="319"/>
    </row>
    <row r="41" spans="2:7" s="22" customFormat="1" ht="21" customHeight="1">
      <c r="B41" s="703"/>
      <c r="C41" s="711"/>
      <c r="D41" s="301" t="s">
        <v>931</v>
      </c>
      <c r="E41" s="280">
        <f>ROUND(0.17*(77+93),2)</f>
        <v>28.9</v>
      </c>
      <c r="F41" s="281" t="s">
        <v>372</v>
      </c>
      <c r="G41" s="319"/>
    </row>
    <row r="42" spans="2:7" s="22" customFormat="1" ht="21" customHeight="1">
      <c r="B42" s="703"/>
      <c r="C42" s="711"/>
      <c r="D42" s="301" t="s">
        <v>895</v>
      </c>
      <c r="E42" s="280">
        <f>ROUND(0.04*715,2)</f>
        <v>28.6</v>
      </c>
      <c r="F42" s="281" t="s">
        <v>894</v>
      </c>
      <c r="G42" s="319"/>
    </row>
    <row r="43" spans="2:7" s="22" customFormat="1" ht="21" customHeight="1">
      <c r="B43" s="703"/>
      <c r="C43" s="711"/>
      <c r="D43" s="226" t="s">
        <v>354</v>
      </c>
      <c r="E43" s="282">
        <f>ROUND(SUM(E36:E39),0)</f>
        <v>41</v>
      </c>
      <c r="F43" s="234"/>
      <c r="G43" s="319"/>
    </row>
    <row r="44" spans="2:7" s="22" customFormat="1" ht="21" customHeight="1">
      <c r="B44" s="704"/>
      <c r="C44" s="712"/>
      <c r="D44" s="226" t="s">
        <v>354</v>
      </c>
      <c r="E44" s="280">
        <f>ROUND(SUM(E39:E42)+E37+E36,0)</f>
        <v>68</v>
      </c>
      <c r="F44" s="234"/>
      <c r="G44" s="319"/>
    </row>
    <row r="45" spans="2:7" s="22" customFormat="1" ht="21" customHeight="1">
      <c r="B45" s="235"/>
      <c r="C45" s="216"/>
      <c r="D45" s="223"/>
      <c r="E45" s="218"/>
      <c r="F45" s="219"/>
      <c r="G45" s="319"/>
    </row>
    <row r="46" spans="2:7" s="22" customFormat="1" ht="21" customHeight="1">
      <c r="B46" s="707" t="s">
        <v>1344</v>
      </c>
      <c r="C46" s="710" t="s">
        <v>362</v>
      </c>
      <c r="D46" s="288" t="s">
        <v>924</v>
      </c>
      <c r="E46" s="282">
        <f>ROUND(2.39*2,2)</f>
        <v>4.78</v>
      </c>
      <c r="F46" s="286" t="s">
        <v>925</v>
      </c>
      <c r="G46" s="319"/>
    </row>
    <row r="47" spans="2:7" s="22" customFormat="1" ht="21" customHeight="1">
      <c r="B47" s="708"/>
      <c r="C47" s="711"/>
      <c r="D47" s="288" t="s">
        <v>926</v>
      </c>
      <c r="E47" s="282">
        <f>ROUND(0.08*(156+68+304+55+43),2)</f>
        <v>50.08</v>
      </c>
      <c r="F47" s="286" t="s">
        <v>897</v>
      </c>
      <c r="G47" s="319"/>
    </row>
    <row r="48" spans="2:7" s="22" customFormat="1" ht="21" customHeight="1">
      <c r="B48" s="708"/>
      <c r="C48" s="711"/>
      <c r="D48" s="232" t="s">
        <v>376</v>
      </c>
      <c r="E48" s="218">
        <f>ROUND(0.56*58,2)</f>
        <v>32.479999999999997</v>
      </c>
      <c r="F48" s="219" t="s">
        <v>369</v>
      </c>
      <c r="G48" s="319"/>
    </row>
    <row r="49" spans="2:7" s="22" customFormat="1" ht="21" customHeight="1">
      <c r="B49" s="708"/>
      <c r="C49" s="711"/>
      <c r="D49" s="232" t="s">
        <v>964</v>
      </c>
      <c r="E49" s="218">
        <f>ROUND((0.92+0.72)/2*16,2)</f>
        <v>13.12</v>
      </c>
      <c r="F49" s="219" t="s">
        <v>371</v>
      </c>
      <c r="G49" s="319" t="s">
        <v>966</v>
      </c>
    </row>
    <row r="50" spans="2:7" s="22" customFormat="1" ht="21" customHeight="1">
      <c r="B50" s="708"/>
      <c r="C50" s="711"/>
      <c r="D50" s="288" t="s">
        <v>927</v>
      </c>
      <c r="E50" s="282">
        <f>ROUND(0.11*(84+95),2)</f>
        <v>19.690000000000001</v>
      </c>
      <c r="F50" s="286" t="s">
        <v>928</v>
      </c>
      <c r="G50" s="319"/>
    </row>
    <row r="51" spans="2:7" s="22" customFormat="1" ht="21" customHeight="1">
      <c r="B51" s="708"/>
      <c r="C51" s="711"/>
      <c r="D51" s="288" t="s">
        <v>929</v>
      </c>
      <c r="E51" s="282">
        <f>ROUND(0.96*(84+95),2)</f>
        <v>171.84</v>
      </c>
      <c r="F51" s="286" t="s">
        <v>930</v>
      </c>
      <c r="G51" s="319"/>
    </row>
    <row r="52" spans="2:7" s="22" customFormat="1" ht="21" customHeight="1">
      <c r="B52" s="708"/>
      <c r="C52" s="711"/>
      <c r="D52" s="232" t="s">
        <v>378</v>
      </c>
      <c r="E52" s="218">
        <f>ROUND(0.3*16,2)</f>
        <v>4.8</v>
      </c>
      <c r="F52" s="219" t="s">
        <v>373</v>
      </c>
      <c r="G52" s="319"/>
    </row>
    <row r="53" spans="2:7" s="22" customFormat="1" ht="21" customHeight="1">
      <c r="B53" s="708"/>
      <c r="C53" s="711"/>
      <c r="D53" s="301" t="s">
        <v>921</v>
      </c>
      <c r="E53" s="280">
        <f>ROUND(0.11*(77+93),2)</f>
        <v>18.7</v>
      </c>
      <c r="F53" s="281" t="s">
        <v>377</v>
      </c>
      <c r="G53" s="319"/>
    </row>
    <row r="54" spans="2:7" s="22" customFormat="1" ht="21" customHeight="1">
      <c r="B54" s="708"/>
      <c r="C54" s="711"/>
      <c r="D54" s="301" t="s">
        <v>922</v>
      </c>
      <c r="E54" s="280">
        <f>2*3.2</f>
        <v>6.4</v>
      </c>
      <c r="F54" s="281" t="s">
        <v>374</v>
      </c>
      <c r="G54" s="319"/>
    </row>
    <row r="55" spans="2:7" s="22" customFormat="1" ht="21" customHeight="1">
      <c r="B55" s="708"/>
      <c r="C55" s="711"/>
      <c r="D55" s="301" t="s">
        <v>896</v>
      </c>
      <c r="E55" s="280">
        <f>ROUND(0.08*(156+43+77+250+189),2)</f>
        <v>57.2</v>
      </c>
      <c r="F55" s="281" t="s">
        <v>375</v>
      </c>
      <c r="G55" s="319"/>
    </row>
    <row r="56" spans="2:7" s="22" customFormat="1" ht="21" customHeight="1">
      <c r="B56" s="708"/>
      <c r="C56" s="711"/>
      <c r="D56" s="301" t="s">
        <v>923</v>
      </c>
      <c r="E56" s="280">
        <f>ROUND(0.96*(77+93),2)</f>
        <v>163.19999999999999</v>
      </c>
      <c r="F56" s="281" t="s">
        <v>372</v>
      </c>
      <c r="G56" s="319"/>
    </row>
    <row r="57" spans="2:7" s="22" customFormat="1" ht="21" customHeight="1">
      <c r="B57" s="708"/>
      <c r="C57" s="711"/>
      <c r="D57" s="301" t="s">
        <v>1209</v>
      </c>
      <c r="E57" s="280">
        <f>ROUND(112*0.8*0.08,2)</f>
        <v>7.17</v>
      </c>
      <c r="F57" s="281" t="s">
        <v>900</v>
      </c>
      <c r="G57" s="319" t="s">
        <v>979</v>
      </c>
    </row>
    <row r="58" spans="2:7" s="22" customFormat="1" ht="21" customHeight="1">
      <c r="B58" s="708"/>
      <c r="C58" s="711"/>
      <c r="D58" s="301"/>
      <c r="E58" s="280"/>
      <c r="F58" s="281"/>
      <c r="G58" s="319"/>
    </row>
    <row r="59" spans="2:7" s="22" customFormat="1" ht="21" customHeight="1">
      <c r="B59" s="708"/>
      <c r="C59" s="711"/>
      <c r="D59" s="226" t="s">
        <v>354</v>
      </c>
      <c r="E59" s="282">
        <f>ROUND(SUM(E46:E52),0)</f>
        <v>297</v>
      </c>
      <c r="F59" s="234"/>
      <c r="G59" s="319"/>
    </row>
    <row r="60" spans="2:7" s="22" customFormat="1" ht="21" customHeight="1">
      <c r="B60" s="709"/>
      <c r="C60" s="712"/>
      <c r="D60" s="226" t="s">
        <v>354</v>
      </c>
      <c r="E60" s="280">
        <f>ROUND(SUM(E52:E57)+E49+E48+E58,0)</f>
        <v>303</v>
      </c>
      <c r="F60" s="234"/>
      <c r="G60" s="319"/>
    </row>
    <row r="61" spans="2:7" s="22" customFormat="1" ht="21" customHeight="1">
      <c r="B61" s="235"/>
      <c r="C61" s="216"/>
      <c r="D61" s="223"/>
      <c r="E61" s="218"/>
      <c r="F61" s="219"/>
      <c r="G61" s="319"/>
    </row>
    <row r="62" spans="2:7" s="22" customFormat="1" ht="21" customHeight="1">
      <c r="B62" s="707" t="s">
        <v>379</v>
      </c>
      <c r="C62" s="710" t="s">
        <v>345</v>
      </c>
      <c r="D62" s="288" t="s">
        <v>380</v>
      </c>
      <c r="E62" s="282">
        <f>ROUND(8.36*2,2)</f>
        <v>16.72</v>
      </c>
      <c r="F62" s="286" t="s">
        <v>374</v>
      </c>
      <c r="G62" s="319"/>
    </row>
    <row r="63" spans="2:7" s="22" customFormat="1" ht="21" customHeight="1">
      <c r="B63" s="708"/>
      <c r="C63" s="711"/>
      <c r="D63" s="288" t="s">
        <v>381</v>
      </c>
      <c r="E63" s="282">
        <f>ROUND(0.82*(156+68+304+55+43),2)</f>
        <v>513.32000000000005</v>
      </c>
      <c r="F63" s="286" t="s">
        <v>915</v>
      </c>
      <c r="G63" s="319"/>
    </row>
    <row r="64" spans="2:7" s="22" customFormat="1" ht="21" customHeight="1">
      <c r="B64" s="708"/>
      <c r="C64" s="711"/>
      <c r="D64" s="232" t="s">
        <v>991</v>
      </c>
      <c r="E64" s="218">
        <f>ROUND(3*55.05-0.5*20,2)</f>
        <v>155.15</v>
      </c>
      <c r="F64" s="219" t="s">
        <v>369</v>
      </c>
      <c r="G64" s="319" t="s">
        <v>992</v>
      </c>
    </row>
    <row r="65" spans="2:7" s="22" customFormat="1" ht="21" customHeight="1">
      <c r="B65" s="708"/>
      <c r="C65" s="711"/>
      <c r="D65" s="232" t="s">
        <v>965</v>
      </c>
      <c r="E65" s="218">
        <f>ROUND((1.5+1.3)*16.87+((1.5+0.5)*16.87/2*2),2)</f>
        <v>80.98</v>
      </c>
      <c r="F65" s="219" t="s">
        <v>371</v>
      </c>
      <c r="G65" s="319" t="s">
        <v>976</v>
      </c>
    </row>
    <row r="66" spans="2:7" s="22" customFormat="1" ht="21" customHeight="1">
      <c r="B66" s="708"/>
      <c r="C66" s="711"/>
      <c r="D66" s="288" t="s">
        <v>919</v>
      </c>
      <c r="E66" s="282">
        <f>ROUND(0.9*(84+95),2)</f>
        <v>161.1</v>
      </c>
      <c r="F66" s="286" t="s">
        <v>920</v>
      </c>
      <c r="G66" s="319"/>
    </row>
    <row r="67" spans="2:7" s="22" customFormat="1" ht="21" customHeight="1">
      <c r="B67" s="708"/>
      <c r="C67" s="711"/>
      <c r="D67" s="288" t="s">
        <v>916</v>
      </c>
      <c r="E67" s="282">
        <f>ROUND(4*(95.87+73.92),2)</f>
        <v>679.16</v>
      </c>
      <c r="F67" s="286" t="s">
        <v>917</v>
      </c>
      <c r="G67" s="319"/>
    </row>
    <row r="68" spans="2:7" s="22" customFormat="1" ht="21" customHeight="1">
      <c r="B68" s="708"/>
      <c r="C68" s="711"/>
      <c r="D68" s="232" t="s">
        <v>382</v>
      </c>
      <c r="E68" s="218">
        <f>ROUND(3*16,2)</f>
        <v>48</v>
      </c>
      <c r="F68" s="219" t="s">
        <v>373</v>
      </c>
      <c r="G68" s="319"/>
    </row>
    <row r="69" spans="2:7" s="22" customFormat="1" ht="21" customHeight="1">
      <c r="B69" s="708"/>
      <c r="C69" s="711"/>
      <c r="D69" s="301" t="s">
        <v>913</v>
      </c>
      <c r="E69" s="280">
        <f>ROUND(2*18.9,2)</f>
        <v>37.799999999999997</v>
      </c>
      <c r="F69" s="281" t="s">
        <v>374</v>
      </c>
      <c r="G69" s="319"/>
    </row>
    <row r="70" spans="2:7" s="22" customFormat="1" ht="21" customHeight="1">
      <c r="B70" s="708"/>
      <c r="C70" s="711"/>
      <c r="D70" s="301" t="s">
        <v>1208</v>
      </c>
      <c r="E70" s="280">
        <f>ROUND(0.82*(156+43+77+250+189),2)</f>
        <v>586.29999999999995</v>
      </c>
      <c r="F70" s="281" t="s">
        <v>899</v>
      </c>
      <c r="G70" s="319"/>
    </row>
    <row r="71" spans="2:7" s="22" customFormat="1" ht="21" customHeight="1">
      <c r="B71" s="708"/>
      <c r="C71" s="711"/>
      <c r="D71" s="301" t="s">
        <v>918</v>
      </c>
      <c r="E71" s="280">
        <f>ROUND(0.9*(77+93),2)</f>
        <v>153</v>
      </c>
      <c r="F71" s="281" t="s">
        <v>377</v>
      </c>
      <c r="G71" s="319"/>
    </row>
    <row r="72" spans="2:7" s="22" customFormat="1" ht="21" customHeight="1">
      <c r="B72" s="708"/>
      <c r="C72" s="711"/>
      <c r="D72" s="301" t="s">
        <v>912</v>
      </c>
      <c r="E72" s="280">
        <f>ROUND(4*(77+93),2)</f>
        <v>680</v>
      </c>
      <c r="F72" s="281" t="s">
        <v>372</v>
      </c>
      <c r="G72" s="319"/>
    </row>
    <row r="73" spans="2:7" s="22" customFormat="1" ht="21" customHeight="1">
      <c r="B73" s="708"/>
      <c r="C73" s="711"/>
      <c r="D73" s="301" t="s">
        <v>995</v>
      </c>
      <c r="E73" s="280">
        <f>ROUND(((15+27+27+15)*0.15)+((58+43)*0.15),2)</f>
        <v>27.75</v>
      </c>
      <c r="F73" s="281" t="s">
        <v>893</v>
      </c>
      <c r="G73" s="319" t="s">
        <v>980</v>
      </c>
    </row>
    <row r="74" spans="2:7" s="22" customFormat="1" ht="21" customHeight="1">
      <c r="B74" s="708"/>
      <c r="C74" s="711"/>
      <c r="D74" s="301" t="s">
        <v>1211</v>
      </c>
      <c r="E74" s="280">
        <f>ROUND((112*0.8*0.82)+(0.075*224),2)</f>
        <v>90.27</v>
      </c>
      <c r="F74" s="281" t="s">
        <v>900</v>
      </c>
      <c r="G74" s="319" t="s">
        <v>979</v>
      </c>
    </row>
    <row r="75" spans="2:7" s="22" customFormat="1" ht="21" customHeight="1">
      <c r="B75" s="708"/>
      <c r="C75" s="711"/>
      <c r="D75" s="301" t="s">
        <v>985</v>
      </c>
      <c r="E75" s="280">
        <f>ROUND(1397*0.15*2,2)</f>
        <v>419.1</v>
      </c>
      <c r="F75" s="281" t="s">
        <v>956</v>
      </c>
      <c r="G75" s="319" t="s">
        <v>984</v>
      </c>
    </row>
    <row r="76" spans="2:7" s="22" customFormat="1" ht="21" customHeight="1">
      <c r="B76" s="708"/>
      <c r="C76" s="711"/>
      <c r="D76" s="301" t="s">
        <v>958</v>
      </c>
      <c r="E76" s="280">
        <f>ROUND(0.1*2*(58+16+77+93+715),2)</f>
        <v>191.8</v>
      </c>
      <c r="F76" s="281" t="s">
        <v>957</v>
      </c>
      <c r="G76" s="319"/>
    </row>
    <row r="77" spans="2:7" s="22" customFormat="1" ht="21" customHeight="1">
      <c r="B77" s="708"/>
      <c r="C77" s="711"/>
      <c r="D77" s="226" t="s">
        <v>354</v>
      </c>
      <c r="E77" s="282">
        <f>ROUND(SUM(E62:E68),0)</f>
        <v>1654</v>
      </c>
      <c r="F77" s="219"/>
      <c r="G77" s="319"/>
    </row>
    <row r="78" spans="2:7" s="22" customFormat="1" ht="21" customHeight="1">
      <c r="B78" s="709"/>
      <c r="C78" s="712"/>
      <c r="D78" s="226" t="s">
        <v>354</v>
      </c>
      <c r="E78" s="280">
        <f>ROUND(SUM(E69:E76)+E68+E65+E64,0)</f>
        <v>2470</v>
      </c>
      <c r="F78" s="219"/>
      <c r="G78" s="319"/>
    </row>
    <row r="79" spans="2:7" s="22" customFormat="1" ht="21" customHeight="1">
      <c r="B79" s="235"/>
      <c r="C79" s="216"/>
      <c r="D79" s="223"/>
      <c r="E79" s="218"/>
      <c r="F79" s="219"/>
      <c r="G79" s="319"/>
    </row>
    <row r="80" spans="2:7" s="22" customFormat="1" ht="21" customHeight="1">
      <c r="B80" s="285" t="s">
        <v>911</v>
      </c>
      <c r="C80" s="283" t="s">
        <v>384</v>
      </c>
      <c r="D80" s="240" t="s">
        <v>385</v>
      </c>
      <c r="E80" s="316">
        <f>ROUND(E87+E96,0)</f>
        <v>18607</v>
      </c>
      <c r="F80" s="305" t="s">
        <v>386</v>
      </c>
      <c r="G80" s="319"/>
    </row>
    <row r="81" spans="2:7" s="22" customFormat="1" ht="21" customHeight="1">
      <c r="B81" s="239" t="s">
        <v>383</v>
      </c>
      <c r="C81" s="216" t="s">
        <v>384</v>
      </c>
      <c r="D81" s="240" t="s">
        <v>385</v>
      </c>
      <c r="E81" s="280">
        <f>ROUND(E88+E97,0)</f>
        <v>19015</v>
      </c>
      <c r="F81" s="241" t="s">
        <v>386</v>
      </c>
      <c r="G81" s="319"/>
    </row>
    <row r="82" spans="2:7" s="22" customFormat="1" ht="21" customHeight="1">
      <c r="B82" s="716" t="s">
        <v>387</v>
      </c>
      <c r="C82" s="710" t="s">
        <v>384</v>
      </c>
      <c r="D82" s="288" t="s">
        <v>388</v>
      </c>
      <c r="E82" s="282">
        <f>ROUND(168.54*2,2)</f>
        <v>337.08</v>
      </c>
      <c r="F82" s="286" t="s">
        <v>908</v>
      </c>
      <c r="G82" s="319"/>
    </row>
    <row r="83" spans="2:7" s="22" customFormat="1" ht="21" customHeight="1">
      <c r="B83" s="717"/>
      <c r="C83" s="711"/>
      <c r="D83" s="288" t="s">
        <v>914</v>
      </c>
      <c r="E83" s="282">
        <f>ROUND(4.9*(156+68+304+55+43),2)</f>
        <v>3067.4</v>
      </c>
      <c r="F83" s="286" t="s">
        <v>898</v>
      </c>
      <c r="G83" s="319"/>
    </row>
    <row r="84" spans="2:7" s="22" customFormat="1" ht="21" customHeight="1">
      <c r="B84" s="717"/>
      <c r="C84" s="711"/>
      <c r="D84" s="232" t="s">
        <v>967</v>
      </c>
      <c r="E84" s="218">
        <f>ROUND(26*16,2)</f>
        <v>416</v>
      </c>
      <c r="F84" s="219" t="s">
        <v>389</v>
      </c>
      <c r="G84" s="319" t="s">
        <v>968</v>
      </c>
    </row>
    <row r="85" spans="2:7" s="22" customFormat="1" ht="21" customHeight="1">
      <c r="B85" s="717"/>
      <c r="C85" s="711"/>
      <c r="D85" s="301" t="s">
        <v>910</v>
      </c>
      <c r="E85" s="280">
        <f>ROUND(4.9*(156+43+77+250+189),2)</f>
        <v>3503.5</v>
      </c>
      <c r="F85" s="281" t="s">
        <v>899</v>
      </c>
      <c r="G85" s="319"/>
    </row>
    <row r="86" spans="2:7" s="22" customFormat="1" ht="21" customHeight="1">
      <c r="B86" s="717"/>
      <c r="C86" s="711"/>
      <c r="D86" s="301" t="s">
        <v>1212</v>
      </c>
      <c r="E86" s="280">
        <f>ROUND(112*0.8*4.32,2)</f>
        <v>387.07</v>
      </c>
      <c r="F86" s="281" t="s">
        <v>900</v>
      </c>
      <c r="G86" s="319" t="s">
        <v>979</v>
      </c>
    </row>
    <row r="87" spans="2:7" s="22" customFormat="1" ht="21" customHeight="1">
      <c r="B87" s="717"/>
      <c r="C87" s="711"/>
      <c r="D87" s="226" t="s">
        <v>390</v>
      </c>
      <c r="E87" s="282">
        <f>ROUND(SUM(E82:E84)*1.06,2)</f>
        <v>4049.71</v>
      </c>
      <c r="F87" s="219"/>
      <c r="G87" s="319"/>
    </row>
    <row r="88" spans="2:7" s="22" customFormat="1" ht="21" customHeight="1">
      <c r="B88" s="718"/>
      <c r="C88" s="712"/>
      <c r="D88" s="226" t="s">
        <v>390</v>
      </c>
      <c r="E88" s="280">
        <f>ROUND(SUM(E84:E86)*1.06,2)</f>
        <v>4564.96</v>
      </c>
      <c r="F88" s="219"/>
      <c r="G88" s="319"/>
    </row>
    <row r="89" spans="2:7" s="22" customFormat="1" ht="21" customHeight="1">
      <c r="B89" s="235"/>
      <c r="C89" s="216"/>
      <c r="D89" s="226"/>
      <c r="E89" s="218"/>
      <c r="F89" s="219"/>
      <c r="G89" s="319"/>
    </row>
    <row r="90" spans="2:7" s="22" customFormat="1" ht="21" customHeight="1">
      <c r="B90" s="302" t="s">
        <v>391</v>
      </c>
      <c r="C90" s="710" t="s">
        <v>392</v>
      </c>
      <c r="D90" s="232" t="s">
        <v>393</v>
      </c>
      <c r="E90" s="218">
        <f>ROUND(29.53*58,2)</f>
        <v>1712.74</v>
      </c>
      <c r="F90" s="219" t="s">
        <v>394</v>
      </c>
      <c r="G90" s="319"/>
    </row>
    <row r="91" spans="2:7" s="22" customFormat="1" ht="21" customHeight="1">
      <c r="B91" s="303"/>
      <c r="C91" s="711"/>
      <c r="D91" s="232" t="s">
        <v>987</v>
      </c>
      <c r="E91" s="218">
        <f>ROUND(50.4*16-((16/0.3*1.2*0.994)+(1.2*0.3*16*0.994))/2,2)</f>
        <v>771.73</v>
      </c>
      <c r="F91" s="219" t="s">
        <v>395</v>
      </c>
      <c r="G91" s="319" t="s">
        <v>988</v>
      </c>
    </row>
    <row r="92" spans="2:7" s="22" customFormat="1" ht="21" customHeight="1">
      <c r="B92" s="303"/>
      <c r="C92" s="711"/>
      <c r="D92" s="232" t="s">
        <v>396</v>
      </c>
      <c r="E92" s="218">
        <f>ROUND(4.19*(84+95),2)</f>
        <v>750.01</v>
      </c>
      <c r="F92" s="219" t="s">
        <v>397</v>
      </c>
      <c r="G92" s="319"/>
    </row>
    <row r="93" spans="2:7" s="22" customFormat="1" ht="21" customHeight="1">
      <c r="B93" s="303"/>
      <c r="C93" s="711"/>
      <c r="D93" s="288" t="s">
        <v>398</v>
      </c>
      <c r="E93" s="282">
        <f>ROUND(58.65*(84+95),2)</f>
        <v>10498.35</v>
      </c>
      <c r="F93" s="286" t="s">
        <v>902</v>
      </c>
      <c r="G93" s="319"/>
    </row>
    <row r="94" spans="2:7" s="22" customFormat="1" ht="21" customHeight="1">
      <c r="B94" s="303"/>
      <c r="C94" s="711"/>
      <c r="D94" s="301" t="s">
        <v>901</v>
      </c>
      <c r="E94" s="280">
        <f>ROUND(58.65*(77+93),2)</f>
        <v>9970.5</v>
      </c>
      <c r="F94" s="281" t="s">
        <v>372</v>
      </c>
      <c r="G94" s="319"/>
    </row>
    <row r="95" spans="2:7" s="22" customFormat="1" ht="21" customHeight="1">
      <c r="B95" s="303"/>
      <c r="C95" s="711"/>
      <c r="D95" s="301" t="s">
        <v>909</v>
      </c>
      <c r="E95" s="280">
        <f>ROUND(2*213.51,2)</f>
        <v>427.02</v>
      </c>
      <c r="F95" s="281" t="s">
        <v>374</v>
      </c>
      <c r="G95" s="319"/>
    </row>
    <row r="96" spans="2:7" s="22" customFormat="1" ht="21" customHeight="1">
      <c r="B96" s="303"/>
      <c r="C96" s="711"/>
      <c r="D96" s="315" t="s">
        <v>390</v>
      </c>
      <c r="E96" s="282">
        <f>ROUND(SUM(E90:E93)*1.06,2)</f>
        <v>14556.8</v>
      </c>
      <c r="F96" s="219"/>
      <c r="G96" s="319"/>
    </row>
    <row r="97" spans="2:7" s="22" customFormat="1" ht="21" customHeight="1">
      <c r="B97" s="304"/>
      <c r="C97" s="712"/>
      <c r="D97" s="226" t="s">
        <v>390</v>
      </c>
      <c r="E97" s="280">
        <f>ROUND((SUM(E90:E92)+E94+E95)*1.06,2)</f>
        <v>14449.92</v>
      </c>
      <c r="F97" s="219"/>
      <c r="G97" s="319"/>
    </row>
    <row r="98" spans="2:7" s="22" customFormat="1" ht="21" customHeight="1">
      <c r="B98" s="235"/>
      <c r="C98" s="216"/>
      <c r="D98" s="226"/>
      <c r="E98" s="218"/>
      <c r="F98" s="219"/>
      <c r="G98" s="319"/>
    </row>
    <row r="99" spans="2:7" s="22" customFormat="1" ht="21" customHeight="1">
      <c r="B99" s="227" t="s">
        <v>399</v>
      </c>
      <c r="C99" s="710" t="s">
        <v>400</v>
      </c>
      <c r="D99" s="217" t="s">
        <v>959</v>
      </c>
      <c r="E99" s="218">
        <f>ROUND(4257-3*11,2)</f>
        <v>4224</v>
      </c>
      <c r="F99" s="219"/>
      <c r="G99" s="319" t="s">
        <v>981</v>
      </c>
    </row>
    <row r="100" spans="2:7" s="22" customFormat="1" ht="21" customHeight="1">
      <c r="B100" s="222"/>
      <c r="C100" s="711"/>
      <c r="D100" s="223"/>
      <c r="E100" s="218">
        <f>ROUND(D100,2)</f>
        <v>0</v>
      </c>
      <c r="F100" s="219"/>
      <c r="G100" s="319"/>
    </row>
    <row r="101" spans="2:7" s="22" customFormat="1" ht="21" customHeight="1">
      <c r="B101" s="225"/>
      <c r="C101" s="712"/>
      <c r="D101" s="226" t="s">
        <v>401</v>
      </c>
      <c r="E101" s="218">
        <f>ROUND(SUM(E99:E100),0)</f>
        <v>4224</v>
      </c>
      <c r="F101" s="219"/>
      <c r="G101" s="319"/>
    </row>
    <row r="102" spans="2:7" s="22" customFormat="1" ht="21" customHeight="1">
      <c r="B102" s="235"/>
      <c r="C102" s="216"/>
      <c r="D102" s="226"/>
      <c r="E102" s="218"/>
      <c r="F102" s="219"/>
      <c r="G102" s="319"/>
    </row>
    <row r="103" spans="2:7" s="22" customFormat="1" ht="21" customHeight="1">
      <c r="B103" s="687" t="s">
        <v>402</v>
      </c>
      <c r="C103" s="710" t="s">
        <v>403</v>
      </c>
      <c r="D103" s="217" t="s">
        <v>404</v>
      </c>
      <c r="E103" s="218">
        <f>ROUND(2985*0.15,2)</f>
        <v>447.75</v>
      </c>
      <c r="F103" s="219" t="s">
        <v>405</v>
      </c>
      <c r="G103" s="319"/>
    </row>
    <row r="104" spans="2:7" s="22" customFormat="1" ht="21" customHeight="1">
      <c r="B104" s="688"/>
      <c r="C104" s="711"/>
      <c r="D104" s="223" t="s">
        <v>406</v>
      </c>
      <c r="E104" s="218">
        <f>ROUND(6*3*0.15,2)</f>
        <v>2.7</v>
      </c>
      <c r="F104" s="219" t="s">
        <v>407</v>
      </c>
      <c r="G104" s="319"/>
    </row>
    <row r="105" spans="2:7" s="22" customFormat="1" ht="21" customHeight="1">
      <c r="B105" s="688"/>
      <c r="C105" s="711"/>
      <c r="D105" s="289">
        <v>11</v>
      </c>
      <c r="E105" s="280">
        <v>11</v>
      </c>
      <c r="F105" s="281" t="s">
        <v>892</v>
      </c>
      <c r="G105" s="319"/>
    </row>
    <row r="106" spans="2:7" s="22" customFormat="1" ht="21" customHeight="1">
      <c r="B106" s="688"/>
      <c r="C106" s="711"/>
      <c r="D106" s="226" t="s">
        <v>401</v>
      </c>
      <c r="E106" s="282">
        <f>ROUND(SUM(E103:E104),0)</f>
        <v>450</v>
      </c>
      <c r="F106" s="219"/>
      <c r="G106" s="319"/>
    </row>
    <row r="107" spans="2:7" s="22" customFormat="1" ht="21" customHeight="1">
      <c r="B107" s="689"/>
      <c r="C107" s="712"/>
      <c r="D107" s="226" t="s">
        <v>401</v>
      </c>
      <c r="E107" s="280">
        <f>ROUND(SUM(E103:E105),0)</f>
        <v>461</v>
      </c>
      <c r="F107" s="219"/>
      <c r="G107" s="319"/>
    </row>
    <row r="108" spans="2:7" s="22" customFormat="1" ht="21" customHeight="1">
      <c r="B108" s="242"/>
      <c r="C108" s="216"/>
      <c r="D108" s="226"/>
      <c r="E108" s="280"/>
      <c r="F108" s="219"/>
      <c r="G108" s="319"/>
    </row>
    <row r="109" spans="2:7" s="22" customFormat="1" ht="21" customHeight="1">
      <c r="B109" s="697" t="s">
        <v>889</v>
      </c>
      <c r="C109" s="710" t="s">
        <v>400</v>
      </c>
      <c r="D109" s="288">
        <v>1309.76</v>
      </c>
      <c r="E109" s="282">
        <f>ROUND(D109,2)</f>
        <v>1309.76</v>
      </c>
      <c r="F109" s="286" t="s">
        <v>891</v>
      </c>
      <c r="G109" s="319"/>
    </row>
    <row r="110" spans="2:7" s="22" customFormat="1" ht="21" customHeight="1">
      <c r="B110" s="705"/>
      <c r="C110" s="711"/>
      <c r="D110" s="301" t="s">
        <v>890</v>
      </c>
      <c r="E110" s="280">
        <f>ROUND(1094+126+182+114,2)</f>
        <v>1516</v>
      </c>
      <c r="F110" s="219"/>
      <c r="G110" s="319" t="s">
        <v>996</v>
      </c>
    </row>
    <row r="111" spans="2:7" s="47" customFormat="1" ht="21" customHeight="1">
      <c r="B111" s="705"/>
      <c r="C111" s="711"/>
      <c r="D111" s="226" t="s">
        <v>401</v>
      </c>
      <c r="E111" s="282">
        <f>ROUND(SUM(E109:E109),0)</f>
        <v>1310</v>
      </c>
      <c r="F111" s="219"/>
      <c r="G111" s="319"/>
    </row>
    <row r="112" spans="2:7" s="47" customFormat="1" ht="21" customHeight="1">
      <c r="B112" s="706"/>
      <c r="C112" s="712"/>
      <c r="D112" s="226" t="s">
        <v>401</v>
      </c>
      <c r="E112" s="280">
        <f>ROUND(SUM(E110:E110),0)</f>
        <v>1516</v>
      </c>
      <c r="F112" s="219"/>
      <c r="G112" s="319"/>
    </row>
    <row r="113" spans="2:7" s="47" customFormat="1" ht="21" customHeight="1">
      <c r="B113" s="235"/>
      <c r="C113" s="216"/>
      <c r="D113" s="226"/>
      <c r="E113" s="218"/>
      <c r="F113" s="219"/>
      <c r="G113" s="319"/>
    </row>
    <row r="114" spans="2:7" s="47" customFormat="1" ht="21" customHeight="1">
      <c r="B114" s="227" t="s">
        <v>409</v>
      </c>
      <c r="C114" s="723" t="s">
        <v>410</v>
      </c>
      <c r="D114" s="232">
        <v>1</v>
      </c>
      <c r="E114" s="218">
        <f>ROUND(1,2)</f>
        <v>1</v>
      </c>
      <c r="F114" s="219" t="s">
        <v>411</v>
      </c>
      <c r="G114" s="319"/>
    </row>
    <row r="115" spans="2:7" s="47" customFormat="1" ht="21" customHeight="1">
      <c r="B115" s="243"/>
      <c r="C115" s="724"/>
      <c r="D115" s="226"/>
      <c r="E115" s="218">
        <f>ROUND(SUM(E114:E114),0)</f>
        <v>1</v>
      </c>
      <c r="F115" s="219"/>
      <c r="G115" s="319"/>
    </row>
    <row r="116" spans="2:7" s="47" customFormat="1" ht="21" customHeight="1">
      <c r="B116" s="235"/>
      <c r="C116" s="216"/>
      <c r="D116" s="226"/>
      <c r="E116" s="218"/>
      <c r="F116" s="219"/>
      <c r="G116" s="319"/>
    </row>
    <row r="117" spans="2:7" s="47" customFormat="1" ht="21" customHeight="1">
      <c r="B117" s="687" t="s">
        <v>412</v>
      </c>
      <c r="C117" s="710" t="s">
        <v>400</v>
      </c>
      <c r="D117" s="288" t="s">
        <v>413</v>
      </c>
      <c r="E117" s="282">
        <f>ROUND(376+422,2)</f>
        <v>798</v>
      </c>
      <c r="F117" s="286" t="s">
        <v>888</v>
      </c>
      <c r="G117" s="319"/>
    </row>
    <row r="118" spans="2:7" s="47" customFormat="1" ht="21" customHeight="1">
      <c r="B118" s="688"/>
      <c r="C118" s="711"/>
      <c r="D118" s="301" t="s">
        <v>887</v>
      </c>
      <c r="E118" s="280">
        <f>ROUND(373+422,2)</f>
        <v>795</v>
      </c>
      <c r="F118" s="219" t="s">
        <v>408</v>
      </c>
      <c r="G118" s="319"/>
    </row>
    <row r="119" spans="2:7" s="47" customFormat="1" ht="21" customHeight="1">
      <c r="B119" s="688"/>
      <c r="C119" s="711"/>
      <c r="D119" s="226" t="s">
        <v>401</v>
      </c>
      <c r="E119" s="282">
        <f>ROUND(SUM(E117:E117),0)</f>
        <v>798</v>
      </c>
      <c r="F119" s="219"/>
      <c r="G119" s="319"/>
    </row>
    <row r="120" spans="2:7" s="47" customFormat="1" ht="21" customHeight="1">
      <c r="B120" s="689"/>
      <c r="C120" s="712"/>
      <c r="D120" s="226" t="s">
        <v>401</v>
      </c>
      <c r="E120" s="280">
        <f>ROUND(SUM(E118:E118),0)</f>
        <v>795</v>
      </c>
      <c r="F120" s="219"/>
      <c r="G120" s="319"/>
    </row>
    <row r="121" spans="2:7" s="22" customFormat="1" ht="21" customHeight="1">
      <c r="B121" s="235"/>
      <c r="C121" s="216"/>
      <c r="D121" s="226"/>
      <c r="E121" s="218"/>
      <c r="F121" s="219"/>
      <c r="G121" s="319"/>
    </row>
    <row r="122" spans="2:7" s="22" customFormat="1" ht="21" customHeight="1">
      <c r="B122" s="236" t="s">
        <v>414</v>
      </c>
      <c r="C122" s="710" t="s">
        <v>400</v>
      </c>
      <c r="D122" s="288">
        <v>1027</v>
      </c>
      <c r="E122" s="282">
        <f>ROUND(1027,2)</f>
        <v>1027</v>
      </c>
      <c r="F122" s="286" t="s">
        <v>846</v>
      </c>
      <c r="G122" s="319"/>
    </row>
    <row r="123" spans="2:7" s="22" customFormat="1" ht="21" customHeight="1">
      <c r="B123" s="221"/>
      <c r="C123" s="711"/>
      <c r="D123" s="289">
        <v>941</v>
      </c>
      <c r="E123" s="280">
        <v>941</v>
      </c>
      <c r="F123" s="281" t="s">
        <v>347</v>
      </c>
      <c r="G123" s="319"/>
    </row>
    <row r="124" spans="2:7" s="22" customFormat="1" ht="21" customHeight="1">
      <c r="B124" s="230"/>
      <c r="C124" s="711"/>
      <c r="D124" s="226" t="s">
        <v>401</v>
      </c>
      <c r="E124" s="282">
        <f>ROUND(SUM(E122:E122),0)</f>
        <v>1027</v>
      </c>
      <c r="F124" s="219"/>
      <c r="G124" s="319"/>
    </row>
    <row r="125" spans="2:7" s="22" customFormat="1" ht="21" customHeight="1">
      <c r="B125" s="252"/>
      <c r="C125" s="712"/>
      <c r="D125" s="226" t="s">
        <v>401</v>
      </c>
      <c r="E125" s="280">
        <f>ROUND(SUM(E123:E123),0)</f>
        <v>941</v>
      </c>
      <c r="F125" s="219"/>
      <c r="G125" s="319"/>
    </row>
    <row r="126" spans="2:7" s="22" customFormat="1" ht="21" customHeight="1">
      <c r="B126" s="244"/>
      <c r="C126" s="216"/>
      <c r="D126" s="245"/>
      <c r="E126" s="218"/>
      <c r="F126" s="219"/>
      <c r="G126" s="319"/>
    </row>
    <row r="127" spans="2:7" s="22" customFormat="1" ht="21" customHeight="1">
      <c r="B127" s="285" t="s">
        <v>778</v>
      </c>
      <c r="C127" s="714" t="s">
        <v>779</v>
      </c>
      <c r="D127" s="287" t="s">
        <v>780</v>
      </c>
      <c r="E127" s="282">
        <f>ROUND(149.96+105.76,2)</f>
        <v>255.72</v>
      </c>
      <c r="F127" s="286" t="s">
        <v>781</v>
      </c>
      <c r="G127" s="319"/>
    </row>
    <row r="128" spans="2:7" s="22" customFormat="1" ht="21" customHeight="1">
      <c r="B128" s="230"/>
      <c r="C128" s="715"/>
      <c r="D128" s="226" t="s">
        <v>401</v>
      </c>
      <c r="E128" s="282">
        <f>ROUND(SUM(E127:E127),0)</f>
        <v>256</v>
      </c>
      <c r="F128" s="219"/>
      <c r="G128" s="319"/>
    </row>
    <row r="129" spans="2:7" s="22" customFormat="1" ht="21" customHeight="1">
      <c r="B129" s="244"/>
      <c r="C129" s="216"/>
      <c r="D129" s="245"/>
      <c r="E129" s="218"/>
      <c r="F129" s="219"/>
      <c r="G129" s="319"/>
    </row>
    <row r="130" spans="2:7" s="22" customFormat="1" ht="21" customHeight="1">
      <c r="B130" s="236" t="s">
        <v>416</v>
      </c>
      <c r="C130" s="710" t="s">
        <v>400</v>
      </c>
      <c r="D130" s="246">
        <v>1010</v>
      </c>
      <c r="E130" s="218">
        <f>ROUND(1010,2)</f>
        <v>1010</v>
      </c>
      <c r="F130" s="219"/>
      <c r="G130" s="319"/>
    </row>
    <row r="131" spans="2:7" s="22" customFormat="1" ht="21" customHeight="1">
      <c r="B131" s="230" t="s">
        <v>417</v>
      </c>
      <c r="C131" s="712"/>
      <c r="D131" s="226" t="s">
        <v>401</v>
      </c>
      <c r="E131" s="218">
        <f>ROUND(SUM(E130:E130),0)</f>
        <v>1010</v>
      </c>
      <c r="F131" s="219"/>
      <c r="G131" s="319"/>
    </row>
    <row r="132" spans="2:7" s="22" customFormat="1" ht="21" customHeight="1">
      <c r="B132" s="235"/>
      <c r="C132" s="216"/>
      <c r="D132" s="247"/>
      <c r="E132" s="218"/>
      <c r="F132" s="219"/>
      <c r="G132" s="319"/>
    </row>
    <row r="133" spans="2:7" s="22" customFormat="1" ht="21" customHeight="1">
      <c r="B133" s="236" t="s">
        <v>418</v>
      </c>
      <c r="C133" s="710" t="s">
        <v>400</v>
      </c>
      <c r="D133" s="246">
        <v>5890.9</v>
      </c>
      <c r="E133" s="218">
        <f>ROUND(5890.9,2)</f>
        <v>5890.9</v>
      </c>
      <c r="F133" s="219" t="s">
        <v>419</v>
      </c>
      <c r="G133" s="319"/>
    </row>
    <row r="134" spans="2:7" s="22" customFormat="1" ht="21" customHeight="1">
      <c r="B134" s="221"/>
      <c r="C134" s="711"/>
      <c r="D134" s="299">
        <v>3552</v>
      </c>
      <c r="E134" s="282">
        <f>ROUND(3552,2)</f>
        <v>3552</v>
      </c>
      <c r="F134" s="286" t="s">
        <v>886</v>
      </c>
      <c r="G134" s="319"/>
    </row>
    <row r="135" spans="2:7" s="22" customFormat="1" ht="21" customHeight="1">
      <c r="B135" s="221"/>
      <c r="C135" s="711"/>
      <c r="D135" s="300">
        <v>3544</v>
      </c>
      <c r="E135" s="280">
        <v>3544</v>
      </c>
      <c r="F135" s="281" t="s">
        <v>347</v>
      </c>
      <c r="G135" s="319"/>
    </row>
    <row r="136" spans="2:7" s="22" customFormat="1" ht="21" customHeight="1">
      <c r="B136" s="222"/>
      <c r="C136" s="711"/>
      <c r="D136" s="226" t="s">
        <v>401</v>
      </c>
      <c r="E136" s="282">
        <f>ROUND(SUM(E133:E134),0)</f>
        <v>9443</v>
      </c>
      <c r="F136" s="219"/>
      <c r="G136" s="319"/>
    </row>
    <row r="137" spans="2:7" s="22" customFormat="1" ht="21" customHeight="1">
      <c r="B137" s="222"/>
      <c r="C137" s="712"/>
      <c r="D137" s="226" t="s">
        <v>401</v>
      </c>
      <c r="E137" s="280">
        <f>ROUND(SUM(E135:E135)+E133,0)</f>
        <v>9435</v>
      </c>
      <c r="F137" s="219"/>
      <c r="G137" s="319"/>
    </row>
    <row r="138" spans="2:7" s="22" customFormat="1" ht="21" customHeight="1">
      <c r="B138" s="248"/>
      <c r="C138" s="216"/>
      <c r="D138" s="249"/>
      <c r="E138" s="218"/>
      <c r="F138" s="219"/>
      <c r="G138" s="319"/>
    </row>
    <row r="139" spans="2:7" s="22" customFormat="1" ht="21" customHeight="1">
      <c r="B139" s="702" t="s">
        <v>884</v>
      </c>
      <c r="C139" s="710" t="s">
        <v>400</v>
      </c>
      <c r="D139" s="299">
        <v>3552</v>
      </c>
      <c r="E139" s="282">
        <f>ROUND(3552,2)</f>
        <v>3552</v>
      </c>
      <c r="F139" s="286" t="s">
        <v>415</v>
      </c>
      <c r="G139" s="319"/>
    </row>
    <row r="140" spans="2:7" s="22" customFormat="1" ht="21" customHeight="1">
      <c r="B140" s="703"/>
      <c r="C140" s="711"/>
      <c r="D140" s="300">
        <v>3544</v>
      </c>
      <c r="E140" s="280">
        <v>3544</v>
      </c>
      <c r="F140" s="281" t="s">
        <v>347</v>
      </c>
      <c r="G140" s="319"/>
    </row>
    <row r="141" spans="2:7" s="22" customFormat="1" ht="21" customHeight="1">
      <c r="B141" s="703"/>
      <c r="C141" s="711"/>
      <c r="D141" s="300">
        <v>70</v>
      </c>
      <c r="E141" s="280">
        <v>70</v>
      </c>
      <c r="F141" s="281" t="s">
        <v>885</v>
      </c>
      <c r="G141" s="319"/>
    </row>
    <row r="142" spans="2:7" s="22" customFormat="1" ht="21" customHeight="1">
      <c r="B142" s="703"/>
      <c r="C142" s="711"/>
      <c r="D142" s="226" t="s">
        <v>401</v>
      </c>
      <c r="E142" s="282">
        <f>ROUND(SUM(E139:E139),0)</f>
        <v>3552</v>
      </c>
      <c r="F142" s="219"/>
      <c r="G142" s="319"/>
    </row>
    <row r="143" spans="2:7" s="22" customFormat="1" ht="21" customHeight="1">
      <c r="B143" s="704"/>
      <c r="C143" s="712"/>
      <c r="D143" s="226" t="s">
        <v>401</v>
      </c>
      <c r="E143" s="280">
        <f>ROUND(SUM(E140:E141),0)</f>
        <v>3614</v>
      </c>
      <c r="F143" s="219"/>
      <c r="G143" s="319"/>
    </row>
    <row r="144" spans="2:7" s="22" customFormat="1" ht="21" customHeight="1">
      <c r="B144" s="248"/>
      <c r="C144" s="216"/>
      <c r="D144" s="249"/>
      <c r="E144" s="218"/>
      <c r="F144" s="219"/>
      <c r="G144" s="319"/>
    </row>
    <row r="145" spans="2:7" s="22" customFormat="1" ht="21" customHeight="1">
      <c r="B145" s="236" t="s">
        <v>420</v>
      </c>
      <c r="C145" s="710" t="s">
        <v>400</v>
      </c>
      <c r="D145" s="299">
        <v>117.7</v>
      </c>
      <c r="E145" s="282">
        <f>ROUND(117.7,2)</f>
        <v>117.7</v>
      </c>
      <c r="F145" s="219"/>
      <c r="G145" s="319"/>
    </row>
    <row r="146" spans="2:7" s="22" customFormat="1" ht="21" customHeight="1">
      <c r="B146" s="221"/>
      <c r="C146" s="711"/>
      <c r="D146" s="300" t="s">
        <v>882</v>
      </c>
      <c r="E146" s="280">
        <f>52+71</f>
        <v>123</v>
      </c>
      <c r="F146" s="219" t="s">
        <v>998</v>
      </c>
      <c r="G146" s="319"/>
    </row>
    <row r="147" spans="2:7" s="22" customFormat="1" ht="21" customHeight="1">
      <c r="B147" s="233"/>
      <c r="C147" s="712"/>
      <c r="D147" s="226" t="s">
        <v>401</v>
      </c>
      <c r="E147" s="282">
        <f>ROUND(SUM(E145:E145),0)</f>
        <v>118</v>
      </c>
      <c r="F147" s="219"/>
      <c r="G147" s="319"/>
    </row>
    <row r="148" spans="2:7" s="22" customFormat="1" ht="21" customHeight="1">
      <c r="B148" s="248"/>
      <c r="C148" s="216"/>
      <c r="D148" s="226" t="s">
        <v>401</v>
      </c>
      <c r="E148" s="280">
        <v>123</v>
      </c>
      <c r="F148" s="219"/>
      <c r="G148" s="319"/>
    </row>
    <row r="149" spans="2:7" s="22" customFormat="1" ht="21" customHeight="1">
      <c r="B149" s="236" t="s">
        <v>421</v>
      </c>
      <c r="C149" s="723" t="s">
        <v>422</v>
      </c>
      <c r="D149" s="246" t="s">
        <v>423</v>
      </c>
      <c r="E149" s="218">
        <f>ROUND(1+1+1+1+1+1+1,2)</f>
        <v>7</v>
      </c>
      <c r="F149" s="219"/>
      <c r="G149" s="319"/>
    </row>
    <row r="150" spans="2:7" s="22" customFormat="1" ht="21" customHeight="1">
      <c r="B150" s="222"/>
      <c r="C150" s="724"/>
      <c r="D150" s="226" t="s">
        <v>401</v>
      </c>
      <c r="E150" s="218">
        <f>ROUND(SUM(E149:E149),0)</f>
        <v>7</v>
      </c>
      <c r="F150" s="219"/>
      <c r="G150" s="319"/>
    </row>
    <row r="151" spans="2:7" s="22" customFormat="1" ht="21" customHeight="1">
      <c r="B151" s="248"/>
      <c r="C151" s="216"/>
      <c r="D151" s="249"/>
      <c r="E151" s="218"/>
      <c r="F151" s="219"/>
      <c r="G151" s="319"/>
    </row>
    <row r="152" spans="2:7" s="22" customFormat="1" ht="21" customHeight="1">
      <c r="B152" s="236" t="s">
        <v>424</v>
      </c>
      <c r="C152" s="710" t="s">
        <v>400</v>
      </c>
      <c r="D152" s="299" t="s">
        <v>883</v>
      </c>
      <c r="E152" s="282">
        <f>ROUND(2.02+16.44+36.48+28.83+40.57+45.82+7.68+2.58,2)</f>
        <v>180.42</v>
      </c>
      <c r="F152" s="219"/>
      <c r="G152" s="319"/>
    </row>
    <row r="153" spans="2:7" s="22" customFormat="1" ht="21" customHeight="1">
      <c r="B153" s="221"/>
      <c r="C153" s="711"/>
      <c r="D153" s="300" t="s">
        <v>881</v>
      </c>
      <c r="E153" s="280">
        <f>ROUND(41.47+7.68+16.44+32.45,2)</f>
        <v>98.04</v>
      </c>
      <c r="F153" s="219" t="s">
        <v>997</v>
      </c>
      <c r="G153" s="319"/>
    </row>
    <row r="154" spans="2:7" ht="21" customHeight="1">
      <c r="B154" s="222"/>
      <c r="C154" s="711"/>
      <c r="D154" s="226" t="s">
        <v>401</v>
      </c>
      <c r="E154" s="282">
        <f>ROUND(SUM(E152:E152),0)</f>
        <v>180</v>
      </c>
      <c r="F154" s="219"/>
      <c r="G154" s="319"/>
    </row>
    <row r="155" spans="2:7" ht="21" customHeight="1">
      <c r="B155" s="222"/>
      <c r="C155" s="712"/>
      <c r="D155" s="226" t="s">
        <v>401</v>
      </c>
      <c r="E155" s="280">
        <f>ROUND(SUM(E153:E153),0)</f>
        <v>98</v>
      </c>
      <c r="F155" s="219"/>
      <c r="G155" s="319"/>
    </row>
    <row r="156" spans="2:7" s="22" customFormat="1" ht="21" customHeight="1">
      <c r="B156" s="244"/>
      <c r="C156" s="216"/>
      <c r="D156" s="247"/>
      <c r="E156" s="218"/>
      <c r="F156" s="219"/>
      <c r="G156" s="319"/>
    </row>
    <row r="157" spans="2:7" s="22" customFormat="1" ht="21" customHeight="1">
      <c r="B157" s="320" t="s">
        <v>425</v>
      </c>
      <c r="C157" s="710" t="s">
        <v>400</v>
      </c>
      <c r="D157" s="288">
        <v>125.64</v>
      </c>
      <c r="E157" s="282">
        <f>ROUND(125.64,2)</f>
        <v>125.64</v>
      </c>
      <c r="F157" s="286" t="s">
        <v>866</v>
      </c>
      <c r="G157" s="319"/>
    </row>
    <row r="158" spans="2:7" s="22" customFormat="1" ht="21" customHeight="1">
      <c r="B158" s="221"/>
      <c r="C158" s="711"/>
      <c r="D158" s="413" t="s">
        <v>427</v>
      </c>
      <c r="E158" s="218">
        <f>ROUND(59.3*0.85,2)</f>
        <v>50.41</v>
      </c>
      <c r="F158" s="219" t="s">
        <v>428</v>
      </c>
      <c r="G158" s="319"/>
    </row>
    <row r="159" spans="2:7" s="22" customFormat="1" ht="21" customHeight="1">
      <c r="B159" s="221"/>
      <c r="C159" s="711"/>
      <c r="D159" s="413" t="s">
        <v>429</v>
      </c>
      <c r="E159" s="218">
        <f>ROUND(98.54*1.35,2)</f>
        <v>133.03</v>
      </c>
      <c r="F159" s="219" t="s">
        <v>430</v>
      </c>
      <c r="G159" s="319"/>
    </row>
    <row r="160" spans="2:7" s="22" customFormat="1" ht="21" customHeight="1">
      <c r="B160" s="222"/>
      <c r="C160" s="711"/>
      <c r="D160" s="413" t="s">
        <v>431</v>
      </c>
      <c r="E160" s="218">
        <f>ROUND(49.04*0.85,2)</f>
        <v>41.68</v>
      </c>
      <c r="F160" s="219" t="s">
        <v>432</v>
      </c>
      <c r="G160" s="319"/>
    </row>
    <row r="161" spans="2:7" s="22" customFormat="1" ht="21" customHeight="1">
      <c r="B161" s="222"/>
      <c r="C161" s="711"/>
      <c r="D161" s="288" t="s">
        <v>906</v>
      </c>
      <c r="E161" s="282">
        <f>ROUND(1.48+2.41+1.59+3.12+2.69+1.53,2)</f>
        <v>12.82</v>
      </c>
      <c r="F161" s="286" t="s">
        <v>907</v>
      </c>
      <c r="G161" s="319"/>
    </row>
    <row r="162" spans="2:7" s="22" customFormat="1" ht="21" customHeight="1">
      <c r="B162" s="222"/>
      <c r="C162" s="711"/>
      <c r="D162" s="288" t="s">
        <v>434</v>
      </c>
      <c r="E162" s="282">
        <f>ROUND(8.74*2,2)</f>
        <v>17.48</v>
      </c>
      <c r="F162" s="286" t="s">
        <v>374</v>
      </c>
      <c r="G162" s="319"/>
    </row>
    <row r="163" spans="2:7" s="48" customFormat="1" ht="21" customHeight="1">
      <c r="B163" s="222"/>
      <c r="C163" s="711"/>
      <c r="D163" s="413" t="s">
        <v>436</v>
      </c>
      <c r="E163" s="218">
        <f>ROUND(1.26*58,2)</f>
        <v>73.08</v>
      </c>
      <c r="F163" s="219" t="s">
        <v>394</v>
      </c>
      <c r="G163" s="319"/>
    </row>
    <row r="164" spans="2:7" s="47" customFormat="1" ht="21" customHeight="1">
      <c r="B164" s="222"/>
      <c r="C164" s="711"/>
      <c r="D164" s="413" t="s">
        <v>437</v>
      </c>
      <c r="E164" s="218">
        <f>ROUND(2.85*16,2)</f>
        <v>45.6</v>
      </c>
      <c r="F164" s="219" t="s">
        <v>395</v>
      </c>
      <c r="G164" s="319"/>
    </row>
    <row r="165" spans="2:7" s="47" customFormat="1" ht="21" customHeight="1">
      <c r="B165" s="222"/>
      <c r="C165" s="711"/>
      <c r="D165" s="288" t="s">
        <v>903</v>
      </c>
      <c r="E165" s="282">
        <f>ROUND(1.2*(84+95),2)</f>
        <v>214.8</v>
      </c>
      <c r="F165" s="286" t="s">
        <v>377</v>
      </c>
      <c r="G165" s="319"/>
    </row>
    <row r="166" spans="2:7" s="47" customFormat="1" ht="21" customHeight="1">
      <c r="B166" s="222"/>
      <c r="C166" s="711"/>
      <c r="D166" s="413" t="s">
        <v>438</v>
      </c>
      <c r="E166" s="218">
        <f>ROUND(1.25*16,2)</f>
        <v>20</v>
      </c>
      <c r="F166" s="219" t="s">
        <v>389</v>
      </c>
      <c r="G166" s="319"/>
    </row>
    <row r="167" spans="2:7" s="47" customFormat="1" ht="21" customHeight="1">
      <c r="B167" s="222"/>
      <c r="C167" s="711"/>
      <c r="D167" s="414">
        <v>13</v>
      </c>
      <c r="E167" s="280">
        <v>13</v>
      </c>
      <c r="F167" s="281" t="s">
        <v>433</v>
      </c>
      <c r="G167" s="319"/>
    </row>
    <row r="168" spans="2:7" s="47" customFormat="1" ht="21" customHeight="1">
      <c r="B168" s="222"/>
      <c r="C168" s="711"/>
      <c r="D168" s="414" t="s">
        <v>905</v>
      </c>
      <c r="E168" s="280">
        <f>ROUND(14.85*2,2)</f>
        <v>29.7</v>
      </c>
      <c r="F168" s="281" t="s">
        <v>435</v>
      </c>
      <c r="G168" s="319"/>
    </row>
    <row r="169" spans="2:7" s="47" customFormat="1" ht="21" customHeight="1">
      <c r="B169" s="222"/>
      <c r="C169" s="711"/>
      <c r="D169" s="414" t="s">
        <v>904</v>
      </c>
      <c r="E169" s="280">
        <f>ROUND(1.2*(77+93),2)</f>
        <v>204</v>
      </c>
      <c r="F169" s="281" t="s">
        <v>377</v>
      </c>
      <c r="G169" s="319"/>
    </row>
    <row r="170" spans="2:7" s="47" customFormat="1" ht="21" customHeight="1">
      <c r="B170" s="222"/>
      <c r="C170" s="711"/>
      <c r="D170" s="414">
        <v>68</v>
      </c>
      <c r="E170" s="280">
        <f>ROUND(68,2)</f>
        <v>68</v>
      </c>
      <c r="F170" s="281" t="s">
        <v>867</v>
      </c>
      <c r="G170" s="319"/>
    </row>
    <row r="171" spans="2:7" s="47" customFormat="1" ht="21" customHeight="1">
      <c r="B171" s="222"/>
      <c r="C171" s="711"/>
      <c r="D171" s="414">
        <v>287</v>
      </c>
      <c r="E171" s="280">
        <f>ROUND(287,2)</f>
        <v>287</v>
      </c>
      <c r="F171" s="281" t="s">
        <v>868</v>
      </c>
      <c r="G171" s="319" t="s">
        <v>977</v>
      </c>
    </row>
    <row r="172" spans="2:7" s="47" customFormat="1" ht="21" customHeight="1">
      <c r="B172" s="222"/>
      <c r="C172" s="711"/>
      <c r="D172" s="414" t="s">
        <v>875</v>
      </c>
      <c r="E172" s="280">
        <f>ROUND(67+66,2)</f>
        <v>133</v>
      </c>
      <c r="F172" s="281" t="s">
        <v>878</v>
      </c>
      <c r="G172" s="319"/>
    </row>
    <row r="173" spans="2:7" s="47" customFormat="1" ht="21" customHeight="1">
      <c r="B173" s="222"/>
      <c r="C173" s="711"/>
      <c r="D173" s="414" t="s">
        <v>876</v>
      </c>
      <c r="E173" s="280">
        <f>ROUND(77+24,2)</f>
        <v>101</v>
      </c>
      <c r="F173" s="281" t="s">
        <v>879</v>
      </c>
      <c r="G173" s="319"/>
    </row>
    <row r="174" spans="2:7" s="47" customFormat="1" ht="21" customHeight="1">
      <c r="B174" s="222"/>
      <c r="C174" s="711"/>
      <c r="D174" s="414" t="s">
        <v>877</v>
      </c>
      <c r="E174" s="280">
        <f>ROUND(275+249,2)</f>
        <v>524</v>
      </c>
      <c r="F174" s="281" t="s">
        <v>880</v>
      </c>
      <c r="G174" s="319"/>
    </row>
    <row r="175" spans="2:7" s="47" customFormat="1" ht="21" customHeight="1">
      <c r="B175" s="222"/>
      <c r="C175" s="711"/>
      <c r="D175" s="240" t="s">
        <v>1345</v>
      </c>
      <c r="E175" s="282">
        <f>ROUND(SUM(E157:E166),0)</f>
        <v>735</v>
      </c>
      <c r="F175" s="219"/>
      <c r="G175" s="319"/>
    </row>
    <row r="176" spans="2:7" s="47" customFormat="1" ht="21" customHeight="1">
      <c r="B176" s="222"/>
      <c r="C176" s="712"/>
      <c r="D176" s="240" t="s">
        <v>1345</v>
      </c>
      <c r="E176" s="280">
        <f>ROUND(SUM(E167:E174)+E158+E159+E160+E163+E164+E166,0)</f>
        <v>1724</v>
      </c>
      <c r="F176" s="219"/>
      <c r="G176" s="319"/>
    </row>
    <row r="177" spans="2:7" s="47" customFormat="1" ht="21" customHeight="1">
      <c r="B177" s="235"/>
      <c r="C177" s="216"/>
      <c r="D177" s="249"/>
      <c r="E177" s="218"/>
      <c r="F177" s="219"/>
      <c r="G177" s="319"/>
    </row>
    <row r="178" spans="2:7" s="47" customFormat="1" ht="21" customHeight="1">
      <c r="B178" s="236" t="s">
        <v>439</v>
      </c>
      <c r="C178" s="710" t="s">
        <v>400</v>
      </c>
      <c r="D178" s="288" t="s">
        <v>440</v>
      </c>
      <c r="E178" s="282">
        <f>ROUND((32.8+(20.4*6))*0.15,2)</f>
        <v>23.28</v>
      </c>
      <c r="F178" s="286" t="s">
        <v>441</v>
      </c>
      <c r="G178" s="319"/>
    </row>
    <row r="179" spans="2:7" s="47" customFormat="1" ht="21" customHeight="1">
      <c r="B179" s="221"/>
      <c r="C179" s="711"/>
      <c r="D179" s="288" t="s">
        <v>442</v>
      </c>
      <c r="E179" s="282">
        <f>ROUND(((17.6*2)+(9*2)+(11.6*58))*0.15,2)</f>
        <v>108.9</v>
      </c>
      <c r="F179" s="286" t="s">
        <v>443</v>
      </c>
      <c r="G179" s="319"/>
    </row>
    <row r="180" spans="2:7" s="47" customFormat="1" ht="21" customHeight="1">
      <c r="B180" s="221"/>
      <c r="C180" s="711"/>
      <c r="D180" s="299" t="s">
        <v>444</v>
      </c>
      <c r="E180" s="282">
        <f>ROUND(((6*3)+(4*27))*0.15,2)</f>
        <v>18.899999999999999</v>
      </c>
      <c r="F180" s="286" t="s">
        <v>445</v>
      </c>
      <c r="G180" s="319"/>
    </row>
    <row r="181" spans="2:7" s="47" customFormat="1" ht="21" customHeight="1">
      <c r="B181" s="221"/>
      <c r="C181" s="711"/>
      <c r="D181" s="288" t="s">
        <v>446</v>
      </c>
      <c r="E181" s="282">
        <f>ROUND(6+6.46+(0.146*2),2)</f>
        <v>12.75</v>
      </c>
      <c r="F181" s="286" t="s">
        <v>447</v>
      </c>
      <c r="G181" s="319"/>
    </row>
    <row r="182" spans="2:7" s="47" customFormat="1" ht="21" customHeight="1">
      <c r="B182" s="221"/>
      <c r="C182" s="711"/>
      <c r="D182" s="289" t="s">
        <v>855</v>
      </c>
      <c r="E182" s="280">
        <v>15.52</v>
      </c>
      <c r="F182" s="281" t="s">
        <v>861</v>
      </c>
      <c r="G182" s="319"/>
    </row>
    <row r="183" spans="2:7" s="47" customFormat="1" ht="21" customHeight="1">
      <c r="B183" s="221"/>
      <c r="C183" s="711"/>
      <c r="D183" s="289" t="s">
        <v>856</v>
      </c>
      <c r="E183" s="280">
        <v>12.600000000000001</v>
      </c>
      <c r="F183" s="281" t="s">
        <v>862</v>
      </c>
      <c r="G183" s="319"/>
    </row>
    <row r="184" spans="2:7" s="47" customFormat="1" ht="21" customHeight="1">
      <c r="B184" s="221"/>
      <c r="C184" s="711"/>
      <c r="D184" s="289" t="s">
        <v>857</v>
      </c>
      <c r="E184" s="280">
        <v>12.040000000000001</v>
      </c>
      <c r="F184" s="281" t="s">
        <v>865</v>
      </c>
      <c r="G184" s="319"/>
    </row>
    <row r="185" spans="2:7" s="47" customFormat="1" ht="21" customHeight="1">
      <c r="B185" s="221"/>
      <c r="C185" s="711"/>
      <c r="D185" s="289" t="s">
        <v>858</v>
      </c>
      <c r="E185" s="280">
        <v>12.504</v>
      </c>
      <c r="F185" s="281" t="s">
        <v>447</v>
      </c>
      <c r="G185" s="319"/>
    </row>
    <row r="186" spans="2:7" s="47" customFormat="1" ht="21" customHeight="1">
      <c r="B186" s="221"/>
      <c r="C186" s="711"/>
      <c r="D186" s="289" t="s">
        <v>859</v>
      </c>
      <c r="E186" s="280">
        <v>2.7199999999999998</v>
      </c>
      <c r="F186" s="281" t="s">
        <v>863</v>
      </c>
      <c r="G186" s="319"/>
    </row>
    <row r="187" spans="2:7" s="47" customFormat="1" ht="21" customHeight="1">
      <c r="B187" s="221"/>
      <c r="C187" s="711"/>
      <c r="D187" s="289" t="s">
        <v>860</v>
      </c>
      <c r="E187" s="280">
        <v>3.52</v>
      </c>
      <c r="F187" s="281" t="s">
        <v>864</v>
      </c>
      <c r="G187" s="319"/>
    </row>
    <row r="188" spans="2:7" s="47" customFormat="1" ht="21" customHeight="1">
      <c r="B188" s="237"/>
      <c r="C188" s="711"/>
      <c r="D188" s="250" t="s">
        <v>448</v>
      </c>
      <c r="E188" s="282">
        <f>ROUND(SUM(E178:E181),0)</f>
        <v>164</v>
      </c>
      <c r="F188" s="219"/>
      <c r="G188" s="319"/>
    </row>
    <row r="189" spans="2:7" s="47" customFormat="1" ht="21" customHeight="1">
      <c r="B189" s="237"/>
      <c r="C189" s="712"/>
      <c r="D189" s="250" t="s">
        <v>448</v>
      </c>
      <c r="E189" s="280">
        <f>ROUND(SUM(E182:E187),0)</f>
        <v>59</v>
      </c>
      <c r="F189" s="219"/>
      <c r="G189" s="319"/>
    </row>
    <row r="190" spans="2:7" s="47" customFormat="1" ht="21" customHeight="1">
      <c r="B190" s="244"/>
      <c r="C190" s="216"/>
      <c r="D190" s="245"/>
      <c r="E190" s="218"/>
      <c r="F190" s="219"/>
      <c r="G190" s="319"/>
    </row>
    <row r="191" spans="2:7" s="47" customFormat="1" ht="21" customHeight="1">
      <c r="B191" s="251" t="s">
        <v>449</v>
      </c>
      <c r="C191" s="723" t="s">
        <v>1346</v>
      </c>
      <c r="D191" s="217" t="s">
        <v>451</v>
      </c>
      <c r="E191" s="218">
        <f>ROUND(1+1,2)</f>
        <v>2</v>
      </c>
      <c r="F191" s="219" t="s">
        <v>415</v>
      </c>
      <c r="G191" s="319"/>
    </row>
    <row r="192" spans="2:7" s="47" customFormat="1" ht="21" customHeight="1">
      <c r="B192" s="225"/>
      <c r="C192" s="724"/>
      <c r="D192" s="226" t="s">
        <v>401</v>
      </c>
      <c r="E192" s="218">
        <f>ROUND(SUM(E191:E191),0)</f>
        <v>2</v>
      </c>
      <c r="F192" s="219"/>
      <c r="G192" s="319"/>
    </row>
    <row r="193" spans="2:9" s="47" customFormat="1" ht="21" customHeight="1">
      <c r="B193" s="244"/>
      <c r="C193" s="216"/>
      <c r="D193" s="245"/>
      <c r="E193" s="218"/>
      <c r="F193" s="219"/>
      <c r="G193" s="319"/>
    </row>
    <row r="194" spans="2:9" s="47" customFormat="1" ht="21" customHeight="1">
      <c r="B194" s="251" t="s">
        <v>452</v>
      </c>
      <c r="C194" s="723" t="s">
        <v>1347</v>
      </c>
      <c r="D194" s="217" t="s">
        <v>454</v>
      </c>
      <c r="E194" s="218">
        <f>ROUND(1+1+1,2)</f>
        <v>3</v>
      </c>
      <c r="F194" s="219" t="s">
        <v>405</v>
      </c>
      <c r="G194" s="319"/>
    </row>
    <row r="195" spans="2:9" s="47" customFormat="1" ht="21" customHeight="1">
      <c r="B195" s="225"/>
      <c r="C195" s="724"/>
      <c r="D195" s="226" t="s">
        <v>401</v>
      </c>
      <c r="E195" s="218">
        <f>ROUND(SUM(E194:E194),0)</f>
        <v>3</v>
      </c>
      <c r="F195" s="219"/>
      <c r="G195" s="319"/>
    </row>
    <row r="196" spans="2:9" s="22" customFormat="1" ht="21" customHeight="1">
      <c r="B196" s="244"/>
      <c r="C196" s="216"/>
      <c r="D196" s="245"/>
      <c r="E196" s="218"/>
      <c r="F196" s="219"/>
      <c r="G196" s="319"/>
      <c r="I196" s="49"/>
    </row>
    <row r="197" spans="2:9" s="22" customFormat="1" ht="21" customHeight="1">
      <c r="B197" s="691" t="s">
        <v>455</v>
      </c>
      <c r="C197" s="723" t="s">
        <v>450</v>
      </c>
      <c r="D197" s="217" t="s">
        <v>456</v>
      </c>
      <c r="E197" s="218">
        <v>6</v>
      </c>
      <c r="F197" s="219" t="s">
        <v>405</v>
      </c>
      <c r="G197" s="319"/>
      <c r="I197" s="49"/>
    </row>
    <row r="198" spans="2:9" s="22" customFormat="1" ht="21" customHeight="1">
      <c r="B198" s="700"/>
      <c r="C198" s="725"/>
      <c r="D198" s="223"/>
      <c r="E198" s="218">
        <f>ROUND(D198,2)</f>
        <v>0</v>
      </c>
      <c r="F198" s="418" t="s">
        <v>457</v>
      </c>
      <c r="G198" s="319"/>
      <c r="I198" s="49"/>
    </row>
    <row r="199" spans="2:9" s="22" customFormat="1" ht="21" customHeight="1">
      <c r="B199" s="701"/>
      <c r="C199" s="724"/>
      <c r="D199" s="226" t="s">
        <v>401</v>
      </c>
      <c r="E199" s="218">
        <f>ROUND(SUM(E197:E198),0)</f>
        <v>6</v>
      </c>
      <c r="F199" s="219"/>
      <c r="G199" s="319"/>
    </row>
    <row r="200" spans="2:9" s="47" customFormat="1" ht="21" customHeight="1">
      <c r="B200" s="244"/>
      <c r="C200" s="216"/>
      <c r="D200" s="245"/>
      <c r="E200" s="218"/>
      <c r="F200" s="219"/>
      <c r="G200" s="319"/>
    </row>
    <row r="201" spans="2:9" s="48" customFormat="1" ht="21" customHeight="1">
      <c r="B201" s="687" t="s">
        <v>458</v>
      </c>
      <c r="C201" s="723" t="s">
        <v>450</v>
      </c>
      <c r="D201" s="298" t="s">
        <v>456</v>
      </c>
      <c r="E201" s="284">
        <f>ROUND(2+2+2,2)</f>
        <v>6</v>
      </c>
      <c r="F201" s="286" t="s">
        <v>405</v>
      </c>
      <c r="G201" s="319"/>
    </row>
    <row r="202" spans="2:9" s="48" customFormat="1" ht="21" customHeight="1">
      <c r="B202" s="688"/>
      <c r="C202" s="725"/>
      <c r="D202" s="289" t="s">
        <v>853</v>
      </c>
      <c r="E202" s="280">
        <v>4</v>
      </c>
      <c r="F202" s="281" t="s">
        <v>846</v>
      </c>
      <c r="G202" s="319"/>
    </row>
    <row r="203" spans="2:9" s="48" customFormat="1" ht="21" customHeight="1">
      <c r="B203" s="688"/>
      <c r="C203" s="725"/>
      <c r="D203" s="289" t="s">
        <v>854</v>
      </c>
      <c r="E203" s="280">
        <v>12</v>
      </c>
      <c r="F203" s="281" t="s">
        <v>850</v>
      </c>
      <c r="G203" s="319"/>
    </row>
    <row r="204" spans="2:9" s="47" customFormat="1" ht="21" customHeight="1">
      <c r="B204" s="688"/>
      <c r="C204" s="725"/>
      <c r="D204" s="226" t="s">
        <v>401</v>
      </c>
      <c r="E204" s="284">
        <f>ROUND(SUM(E201:E201),0)</f>
        <v>6</v>
      </c>
      <c r="F204" s="219"/>
      <c r="G204" s="319"/>
    </row>
    <row r="205" spans="2:9" s="22" customFormat="1" ht="21" customHeight="1">
      <c r="B205" s="689"/>
      <c r="C205" s="724"/>
      <c r="D205" s="226" t="s">
        <v>401</v>
      </c>
      <c r="E205" s="280">
        <v>16</v>
      </c>
      <c r="F205" s="219"/>
      <c r="G205" s="319"/>
    </row>
    <row r="206" spans="2:9" s="22" customFormat="1" ht="21" customHeight="1">
      <c r="B206" s="364"/>
      <c r="C206" s="415"/>
      <c r="D206" s="416"/>
      <c r="E206" s="280"/>
      <c r="F206" s="219"/>
      <c r="G206" s="319"/>
    </row>
    <row r="207" spans="2:9" s="22" customFormat="1" ht="21" customHeight="1">
      <c r="B207" s="297" t="s">
        <v>459</v>
      </c>
      <c r="C207" s="714" t="s">
        <v>453</v>
      </c>
      <c r="D207" s="298">
        <v>1</v>
      </c>
      <c r="E207" s="284">
        <f>ROUND(1,2)</f>
        <v>1</v>
      </c>
      <c r="F207" s="219"/>
      <c r="G207" s="319"/>
    </row>
    <row r="208" spans="2:9" s="22" customFormat="1" ht="21" customHeight="1">
      <c r="B208" s="238"/>
      <c r="C208" s="715"/>
      <c r="D208" s="226" t="s">
        <v>401</v>
      </c>
      <c r="E208" s="284">
        <f>ROUND(SUM(E207:E207),0)</f>
        <v>1</v>
      </c>
      <c r="F208" s="219"/>
      <c r="G208" s="319"/>
    </row>
    <row r="209" spans="2:8" s="22" customFormat="1" ht="21" customHeight="1">
      <c r="B209" s="248"/>
      <c r="C209" s="216"/>
      <c r="D209" s="245"/>
      <c r="E209" s="218"/>
      <c r="F209" s="219"/>
      <c r="G209" s="319"/>
    </row>
    <row r="210" spans="2:8" s="22" customFormat="1" ht="21" customHeight="1">
      <c r="B210" s="236" t="s">
        <v>460</v>
      </c>
      <c r="C210" s="723" t="s">
        <v>453</v>
      </c>
      <c r="D210" s="236">
        <v>1</v>
      </c>
      <c r="E210" s="218">
        <f>ROUND(1,2)</f>
        <v>1</v>
      </c>
      <c r="F210" s="219"/>
      <c r="G210" s="319"/>
    </row>
    <row r="211" spans="2:8" s="22" customFormat="1" ht="21" customHeight="1">
      <c r="B211" s="238"/>
      <c r="C211" s="724"/>
      <c r="D211" s="226" t="s">
        <v>401</v>
      </c>
      <c r="E211" s="218">
        <f>ROUND(SUM(E210:E210),0)</f>
        <v>1</v>
      </c>
      <c r="F211" s="219"/>
      <c r="G211" s="319"/>
    </row>
    <row r="212" spans="2:8" s="22" customFormat="1" ht="21" customHeight="1">
      <c r="B212" s="248"/>
      <c r="C212" s="216"/>
      <c r="D212" s="245"/>
      <c r="E212" s="218"/>
      <c r="F212" s="219"/>
      <c r="G212" s="319"/>
    </row>
    <row r="213" spans="2:8" s="22" customFormat="1" ht="21" customHeight="1">
      <c r="B213" s="236" t="s">
        <v>461</v>
      </c>
      <c r="C213" s="723" t="s">
        <v>453</v>
      </c>
      <c r="D213" s="236">
        <v>1</v>
      </c>
      <c r="E213" s="218">
        <f>ROUND(1,2)</f>
        <v>1</v>
      </c>
      <c r="F213" s="219"/>
      <c r="G213" s="319"/>
    </row>
    <row r="214" spans="2:8" s="22" customFormat="1" ht="21" customHeight="1">
      <c r="B214" s="238"/>
      <c r="C214" s="724"/>
      <c r="D214" s="226" t="s">
        <v>401</v>
      </c>
      <c r="E214" s="218">
        <f>ROUND(SUM(E213:E213),0)</f>
        <v>1</v>
      </c>
      <c r="F214" s="219"/>
      <c r="G214" s="319"/>
    </row>
    <row r="215" spans="2:8" s="22" customFormat="1" ht="21" customHeight="1">
      <c r="B215" s="248"/>
      <c r="C215" s="216"/>
      <c r="D215" s="245"/>
      <c r="E215" s="218"/>
      <c r="F215" s="219"/>
      <c r="G215" s="319"/>
    </row>
    <row r="216" spans="2:8" s="22" customFormat="1" ht="21" customHeight="1">
      <c r="B216" s="691" t="s">
        <v>462</v>
      </c>
      <c r="C216" s="723" t="s">
        <v>463</v>
      </c>
      <c r="D216" s="236">
        <v>6</v>
      </c>
      <c r="E216" s="218">
        <f>ROUND(6,2)</f>
        <v>6</v>
      </c>
      <c r="F216" s="219"/>
      <c r="G216" s="319"/>
    </row>
    <row r="217" spans="2:8" s="22" customFormat="1" ht="21" customHeight="1">
      <c r="B217" s="692"/>
      <c r="C217" s="724"/>
      <c r="D217" s="226" t="s">
        <v>401</v>
      </c>
      <c r="E217" s="218">
        <f>ROUND(SUM(E216:E216),0)</f>
        <v>6</v>
      </c>
      <c r="F217" s="219"/>
      <c r="G217" s="319"/>
    </row>
    <row r="218" spans="2:8" s="22" customFormat="1" ht="21" customHeight="1">
      <c r="B218" s="248"/>
      <c r="C218" s="216"/>
      <c r="D218" s="245"/>
      <c r="E218" s="218"/>
      <c r="F218" s="219"/>
      <c r="G218" s="319"/>
      <c r="H218" s="22">
        <v>27</v>
      </c>
    </row>
    <row r="219" spans="2:8" s="22" customFormat="1" ht="21" customHeight="1">
      <c r="B219" s="236" t="s">
        <v>464</v>
      </c>
      <c r="C219" s="723" t="s">
        <v>453</v>
      </c>
      <c r="D219" s="236" t="s">
        <v>451</v>
      </c>
      <c r="E219" s="218">
        <f>ROUND(1+1,2)</f>
        <v>2</v>
      </c>
      <c r="F219" s="219" t="s">
        <v>465</v>
      </c>
      <c r="G219" s="319"/>
    </row>
    <row r="220" spans="2:8" s="22" customFormat="1" ht="21" customHeight="1">
      <c r="B220" s="238"/>
      <c r="C220" s="724"/>
      <c r="D220" s="226" t="s">
        <v>401</v>
      </c>
      <c r="E220" s="218">
        <f>ROUND(SUM(E219:E219),0)</f>
        <v>2</v>
      </c>
      <c r="F220" s="219"/>
      <c r="G220" s="319"/>
    </row>
    <row r="221" spans="2:8" s="22" customFormat="1" ht="21" customHeight="1">
      <c r="B221" s="248"/>
      <c r="C221" s="216"/>
      <c r="D221" s="245"/>
      <c r="E221" s="218"/>
      <c r="F221" s="219"/>
      <c r="G221" s="319"/>
    </row>
    <row r="222" spans="2:8" s="22" customFormat="1" ht="21" customHeight="1">
      <c r="B222" s="236" t="s">
        <v>466</v>
      </c>
      <c r="C222" s="723" t="s">
        <v>450</v>
      </c>
      <c r="D222" s="236" t="s">
        <v>454</v>
      </c>
      <c r="E222" s="218">
        <f>ROUND(1+1+1,2)</f>
        <v>3</v>
      </c>
      <c r="F222" s="219"/>
      <c r="G222" s="319"/>
    </row>
    <row r="223" spans="2:8" s="22" customFormat="1" ht="21" customHeight="1">
      <c r="B223" s="238"/>
      <c r="C223" s="724"/>
      <c r="D223" s="226" t="s">
        <v>401</v>
      </c>
      <c r="E223" s="218">
        <f>ROUND(SUM(E222:E222),0)</f>
        <v>3</v>
      </c>
      <c r="F223" s="219"/>
      <c r="G223" s="319"/>
    </row>
    <row r="224" spans="2:8" ht="21" customHeight="1">
      <c r="B224" s="248"/>
      <c r="C224" s="216"/>
      <c r="D224" s="245"/>
      <c r="E224" s="218"/>
      <c r="F224" s="219"/>
      <c r="G224" s="319"/>
    </row>
    <row r="225" spans="2:7" ht="21" customHeight="1">
      <c r="B225" s="236" t="s">
        <v>262</v>
      </c>
      <c r="C225" s="723" t="s">
        <v>453</v>
      </c>
      <c r="D225" s="223">
        <v>1</v>
      </c>
      <c r="E225" s="218">
        <f>ROUND(1,2)</f>
        <v>1</v>
      </c>
      <c r="F225" s="219"/>
      <c r="G225" s="319"/>
    </row>
    <row r="226" spans="2:7" ht="21" customHeight="1">
      <c r="B226" s="238"/>
      <c r="C226" s="724"/>
      <c r="D226" s="226" t="s">
        <v>401</v>
      </c>
      <c r="E226" s="218">
        <f>ROUND(SUM(E225:E225),0)</f>
        <v>1</v>
      </c>
      <c r="F226" s="219"/>
      <c r="G226" s="319"/>
    </row>
    <row r="227" spans="2:7" s="22" customFormat="1" ht="21" customHeight="1">
      <c r="B227" s="248"/>
      <c r="C227" s="216"/>
      <c r="D227" s="245"/>
      <c r="E227" s="218"/>
      <c r="F227" s="219"/>
      <c r="G227" s="319"/>
    </row>
    <row r="228" spans="2:7" s="22" customFormat="1" ht="21" customHeight="1">
      <c r="B228" s="236" t="s">
        <v>467</v>
      </c>
      <c r="C228" s="723" t="s">
        <v>422</v>
      </c>
      <c r="D228" s="223" t="s">
        <v>454</v>
      </c>
      <c r="E228" s="218">
        <f>ROUND(1+1+1,2)</f>
        <v>3</v>
      </c>
      <c r="F228" s="219"/>
      <c r="G228" s="319"/>
    </row>
    <row r="229" spans="2:7" s="22" customFormat="1" ht="21" customHeight="1">
      <c r="B229" s="238"/>
      <c r="C229" s="724"/>
      <c r="D229" s="226" t="s">
        <v>401</v>
      </c>
      <c r="E229" s="218">
        <f>ROUND(SUM(E228:E228),0)</f>
        <v>3</v>
      </c>
      <c r="F229" s="219"/>
      <c r="G229" s="319"/>
    </row>
    <row r="230" spans="2:7" s="22" customFormat="1" ht="21" customHeight="1">
      <c r="B230" s="244"/>
      <c r="C230" s="215"/>
      <c r="D230" s="245"/>
      <c r="E230" s="218"/>
      <c r="F230" s="219"/>
      <c r="G230" s="319"/>
    </row>
    <row r="231" spans="2:7" s="22" customFormat="1" ht="21" customHeight="1">
      <c r="B231" s="236" t="s">
        <v>468</v>
      </c>
      <c r="C231" s="723" t="s">
        <v>422</v>
      </c>
      <c r="D231" s="223" t="s">
        <v>469</v>
      </c>
      <c r="E231" s="218">
        <f>ROUND(8+10,2)</f>
        <v>18</v>
      </c>
      <c r="F231" s="219" t="s">
        <v>470</v>
      </c>
      <c r="G231" s="319"/>
    </row>
    <row r="232" spans="2:7" s="22" customFormat="1" ht="21" customHeight="1">
      <c r="B232" s="721"/>
      <c r="C232" s="725"/>
      <c r="D232" s="288" t="s">
        <v>451</v>
      </c>
      <c r="E232" s="282">
        <f>ROUND(1+1,2)</f>
        <v>2</v>
      </c>
      <c r="F232" s="286" t="s">
        <v>471</v>
      </c>
      <c r="G232" s="319"/>
    </row>
    <row r="233" spans="2:7" s="22" customFormat="1" ht="21" customHeight="1">
      <c r="B233" s="721"/>
      <c r="C233" s="725"/>
      <c r="D233" s="289">
        <v>5</v>
      </c>
      <c r="E233" s="280">
        <v>5</v>
      </c>
      <c r="F233" s="281" t="s">
        <v>851</v>
      </c>
      <c r="G233" s="319"/>
    </row>
    <row r="234" spans="2:7" ht="21" customHeight="1">
      <c r="B234" s="721"/>
      <c r="C234" s="725"/>
      <c r="D234" s="296" t="s">
        <v>852</v>
      </c>
      <c r="E234" s="282">
        <f>ROUND(SUM(E231:E232),0)</f>
        <v>20</v>
      </c>
      <c r="F234" s="281"/>
      <c r="G234" s="319"/>
    </row>
    <row r="235" spans="2:7" ht="21" customHeight="1">
      <c r="B235" s="722"/>
      <c r="C235" s="724"/>
      <c r="D235" s="226" t="s">
        <v>401</v>
      </c>
      <c r="E235" s="280">
        <f>ROUND(E231+E233,0)</f>
        <v>23</v>
      </c>
      <c r="F235" s="219"/>
      <c r="G235" s="319"/>
    </row>
    <row r="236" spans="2:7" ht="21" customHeight="1">
      <c r="B236" s="244"/>
      <c r="C236" s="215"/>
      <c r="D236" s="245"/>
      <c r="E236" s="218"/>
      <c r="F236" s="219"/>
      <c r="G236" s="319"/>
    </row>
    <row r="237" spans="2:7" ht="21" customHeight="1">
      <c r="B237" s="236" t="s">
        <v>472</v>
      </c>
      <c r="C237" s="723" t="s">
        <v>422</v>
      </c>
      <c r="D237" s="223">
        <v>1</v>
      </c>
      <c r="E237" s="218">
        <f>ROUND(1,2)</f>
        <v>1</v>
      </c>
      <c r="F237" s="219"/>
      <c r="G237" s="319"/>
    </row>
    <row r="238" spans="2:7" ht="21" customHeight="1">
      <c r="B238" s="238"/>
      <c r="C238" s="724"/>
      <c r="D238" s="226" t="s">
        <v>401</v>
      </c>
      <c r="E238" s="218">
        <f>ROUND(SUM(E237:E237),0)</f>
        <v>1</v>
      </c>
      <c r="F238" s="219"/>
      <c r="G238" s="319"/>
    </row>
    <row r="239" spans="2:7" ht="21" customHeight="1">
      <c r="B239" s="244"/>
      <c r="C239" s="215"/>
      <c r="D239" s="245"/>
      <c r="E239" s="218"/>
      <c r="F239" s="219"/>
      <c r="G239" s="319"/>
    </row>
    <row r="240" spans="2:7" ht="21" customHeight="1">
      <c r="B240" s="236" t="s">
        <v>473</v>
      </c>
      <c r="C240" s="723" t="s">
        <v>474</v>
      </c>
      <c r="D240" s="288" t="s">
        <v>475</v>
      </c>
      <c r="E240" s="282">
        <f>ROUND(49.8+14.58+16.22+2,2)</f>
        <v>82.6</v>
      </c>
      <c r="F240" s="219"/>
      <c r="G240" s="319"/>
    </row>
    <row r="241" spans="2:8" ht="21" customHeight="1">
      <c r="B241" s="221"/>
      <c r="C241" s="725"/>
      <c r="D241" s="289" t="s">
        <v>849</v>
      </c>
      <c r="E241" s="280">
        <f>ROUND(39+65,2)</f>
        <v>104</v>
      </c>
      <c r="F241" s="219"/>
      <c r="G241" s="319"/>
    </row>
    <row r="242" spans="2:8" ht="21" customHeight="1">
      <c r="B242" s="221"/>
      <c r="C242" s="725"/>
      <c r="D242" s="226" t="s">
        <v>401</v>
      </c>
      <c r="E242" s="282">
        <f>ROUND(SUM(E240),0)</f>
        <v>83</v>
      </c>
      <c r="F242" s="219"/>
      <c r="G242" s="319"/>
    </row>
    <row r="243" spans="2:8" ht="21" customHeight="1">
      <c r="B243" s="238"/>
      <c r="C243" s="724"/>
      <c r="D243" s="226" t="s">
        <v>401</v>
      </c>
      <c r="E243" s="280">
        <f>ROUND(SUM(E241),0)</f>
        <v>104</v>
      </c>
      <c r="F243" s="219"/>
      <c r="G243" s="319"/>
    </row>
    <row r="244" spans="2:8" ht="21" customHeight="1">
      <c r="B244" s="244"/>
      <c r="C244" s="215"/>
      <c r="D244" s="245"/>
      <c r="E244" s="218"/>
      <c r="F244" s="219"/>
      <c r="G244" s="319"/>
    </row>
    <row r="245" spans="2:8" ht="21" customHeight="1">
      <c r="B245" s="236" t="s">
        <v>267</v>
      </c>
      <c r="C245" s="723" t="s">
        <v>422</v>
      </c>
      <c r="D245" s="223" t="s">
        <v>476</v>
      </c>
      <c r="E245" s="218">
        <f>ROUND(5+5+5,2)</f>
        <v>15</v>
      </c>
      <c r="F245" s="219" t="s">
        <v>477</v>
      </c>
      <c r="G245" s="319"/>
    </row>
    <row r="246" spans="2:8" ht="21" customHeight="1">
      <c r="B246" s="238"/>
      <c r="C246" s="724"/>
      <c r="D246" s="226" t="s">
        <v>401</v>
      </c>
      <c r="E246" s="218">
        <f>ROUND(SUM(E245:E245),0)</f>
        <v>15</v>
      </c>
      <c r="F246" s="219"/>
      <c r="G246" s="319"/>
    </row>
    <row r="247" spans="2:8" ht="21" customHeight="1">
      <c r="B247" s="244"/>
      <c r="C247" s="215"/>
      <c r="D247" s="245"/>
      <c r="E247" s="218"/>
      <c r="F247" s="219"/>
      <c r="G247" s="319"/>
    </row>
    <row r="248" spans="2:8" ht="21" customHeight="1">
      <c r="B248" s="236" t="s">
        <v>478</v>
      </c>
      <c r="C248" s="723" t="s">
        <v>422</v>
      </c>
      <c r="D248" s="223">
        <v>1</v>
      </c>
      <c r="E248" s="218">
        <v>1</v>
      </c>
      <c r="F248" s="219"/>
      <c r="G248" s="319"/>
    </row>
    <row r="249" spans="2:8" ht="21" customHeight="1">
      <c r="B249" s="238"/>
      <c r="C249" s="724"/>
      <c r="D249" s="226" t="s">
        <v>401</v>
      </c>
      <c r="E249" s="218">
        <f>ROUND(SUM(E248:E248),0)</f>
        <v>1</v>
      </c>
      <c r="F249" s="219"/>
      <c r="G249" s="319"/>
    </row>
    <row r="250" spans="2:8" ht="21" customHeight="1">
      <c r="B250" s="244"/>
      <c r="C250" s="215"/>
      <c r="D250" s="245"/>
      <c r="E250" s="218"/>
      <c r="F250" s="219"/>
      <c r="G250" s="319"/>
    </row>
    <row r="251" spans="2:8" ht="21" customHeight="1">
      <c r="B251" s="236" t="s">
        <v>479</v>
      </c>
      <c r="C251" s="723" t="s">
        <v>422</v>
      </c>
      <c r="D251" s="223">
        <v>1</v>
      </c>
      <c r="E251" s="218">
        <v>1</v>
      </c>
      <c r="F251" s="219"/>
      <c r="G251" s="319"/>
      <c r="H251" s="24"/>
    </row>
    <row r="252" spans="2:8" s="22" customFormat="1" ht="21" customHeight="1">
      <c r="B252" s="238"/>
      <c r="C252" s="724"/>
      <c r="D252" s="226" t="s">
        <v>401</v>
      </c>
      <c r="E252" s="218">
        <f>ROUND(SUM(E251:E251),0)</f>
        <v>1</v>
      </c>
      <c r="F252" s="219"/>
      <c r="G252" s="319"/>
    </row>
    <row r="253" spans="2:8" ht="21" customHeight="1">
      <c r="B253" s="244"/>
      <c r="C253" s="215"/>
      <c r="D253" s="245"/>
      <c r="E253" s="218"/>
      <c r="F253" s="219"/>
      <c r="G253" s="319"/>
    </row>
    <row r="254" spans="2:8" ht="21" customHeight="1">
      <c r="B254" s="691" t="s">
        <v>270</v>
      </c>
      <c r="C254" s="723" t="s">
        <v>422</v>
      </c>
      <c r="D254" s="223">
        <v>1</v>
      </c>
      <c r="E254" s="218">
        <f>ROUND(1,2)</f>
        <v>1</v>
      </c>
      <c r="F254" s="219"/>
      <c r="G254" s="319"/>
    </row>
    <row r="255" spans="2:8" ht="21" customHeight="1">
      <c r="B255" s="692"/>
      <c r="C255" s="724"/>
      <c r="D255" s="226" t="s">
        <v>401</v>
      </c>
      <c r="E255" s="218">
        <f>ROUND(SUM(E254:E254),0)</f>
        <v>1</v>
      </c>
      <c r="F255" s="219"/>
      <c r="G255" s="319"/>
    </row>
    <row r="256" spans="2:8" s="22" customFormat="1" ht="21" customHeight="1">
      <c r="B256" s="244"/>
      <c r="C256" s="215"/>
      <c r="D256" s="245"/>
      <c r="E256" s="218"/>
      <c r="F256" s="219"/>
      <c r="G256" s="319"/>
    </row>
    <row r="257" spans="2:10" ht="21" customHeight="1">
      <c r="B257" s="236" t="s">
        <v>426</v>
      </c>
      <c r="C257" s="723" t="s">
        <v>453</v>
      </c>
      <c r="D257" s="236">
        <v>1</v>
      </c>
      <c r="E257" s="218">
        <f>ROUND(1,2)</f>
        <v>1</v>
      </c>
      <c r="F257" s="219"/>
      <c r="G257" s="319"/>
    </row>
    <row r="258" spans="2:10" ht="21" customHeight="1">
      <c r="B258" s="238"/>
      <c r="C258" s="724"/>
      <c r="D258" s="226" t="s">
        <v>401</v>
      </c>
      <c r="E258" s="218">
        <f>ROUND(SUM(E257:E257),0)</f>
        <v>1</v>
      </c>
      <c r="F258" s="219"/>
      <c r="G258" s="319"/>
    </row>
    <row r="259" spans="2:10" ht="21" customHeight="1">
      <c r="B259" s="248"/>
      <c r="C259" s="215"/>
      <c r="D259" s="245"/>
      <c r="E259" s="218"/>
      <c r="F259" s="219"/>
      <c r="G259" s="319"/>
    </row>
    <row r="260" spans="2:10" ht="21" customHeight="1">
      <c r="B260" s="285" t="s">
        <v>480</v>
      </c>
      <c r="C260" s="726" t="s">
        <v>400</v>
      </c>
      <c r="D260" s="288" t="s">
        <v>833</v>
      </c>
      <c r="E260" s="282">
        <f>ROUND(259.81*15+20.83*13,2)</f>
        <v>4167.9399999999996</v>
      </c>
      <c r="F260" s="286" t="s">
        <v>835</v>
      </c>
      <c r="G260" s="319"/>
    </row>
    <row r="261" spans="2:10" ht="21" customHeight="1">
      <c r="B261" s="222"/>
      <c r="C261" s="727"/>
      <c r="D261" s="288" t="s">
        <v>834</v>
      </c>
      <c r="E261" s="282">
        <f>ROUND(250.91*15+19.94*13,2)</f>
        <v>4022.87</v>
      </c>
      <c r="F261" s="286" t="s">
        <v>836</v>
      </c>
      <c r="G261" s="319"/>
    </row>
    <row r="262" spans="2:10" ht="21" customHeight="1">
      <c r="B262" s="225"/>
      <c r="C262" s="728"/>
      <c r="D262" s="417" t="s">
        <v>1348</v>
      </c>
      <c r="E262" s="282">
        <f>ROUND(SUM(E260:E261),0)</f>
        <v>8191</v>
      </c>
      <c r="F262" s="219"/>
      <c r="G262" s="319"/>
      <c r="H262" s="36"/>
      <c r="I262" s="36"/>
      <c r="J262" s="36"/>
    </row>
    <row r="263" spans="2:10" ht="21" customHeight="1">
      <c r="B263" s="244"/>
      <c r="C263" s="216"/>
      <c r="D263" s="245"/>
      <c r="E263" s="218"/>
      <c r="F263" s="219"/>
      <c r="G263" s="319"/>
      <c r="H263" s="36"/>
      <c r="I263" s="36"/>
      <c r="J263" s="36"/>
    </row>
    <row r="264" spans="2:10" ht="21" customHeight="1">
      <c r="B264" s="684" t="s">
        <v>483</v>
      </c>
      <c r="C264" s="710" t="s">
        <v>400</v>
      </c>
      <c r="D264" s="288" t="s">
        <v>839</v>
      </c>
      <c r="E264" s="282">
        <f>ROUND(381.75*1.00067,2)</f>
        <v>382.01</v>
      </c>
      <c r="F264" s="286" t="s">
        <v>840</v>
      </c>
      <c r="G264" s="319"/>
      <c r="H264" s="36"/>
      <c r="I264" s="36"/>
      <c r="J264" s="36"/>
    </row>
    <row r="265" spans="2:10" ht="21" customHeight="1">
      <c r="B265" s="685"/>
      <c r="C265" s="711"/>
      <c r="D265" s="288" t="s">
        <v>841</v>
      </c>
      <c r="E265" s="282">
        <f>ROUND(6.9*155.8,2)</f>
        <v>1075.02</v>
      </c>
      <c r="F265" s="286" t="s">
        <v>842</v>
      </c>
      <c r="G265" s="319"/>
      <c r="H265" s="36"/>
      <c r="I265" s="36"/>
      <c r="J265" s="36"/>
    </row>
    <row r="266" spans="2:10" s="25" customFormat="1" ht="21" customHeight="1">
      <c r="B266" s="685"/>
      <c r="C266" s="711"/>
      <c r="D266" s="288" t="s">
        <v>843</v>
      </c>
      <c r="E266" s="282">
        <f>ROUND(311+485,2)</f>
        <v>796</v>
      </c>
      <c r="F266" s="286" t="s">
        <v>844</v>
      </c>
      <c r="G266" s="319"/>
      <c r="H266" s="43"/>
      <c r="I266" s="43"/>
      <c r="J266" s="43"/>
    </row>
    <row r="267" spans="2:10" s="22" customFormat="1" ht="21" customHeight="1">
      <c r="B267" s="685"/>
      <c r="C267" s="711"/>
      <c r="D267" s="288" t="s">
        <v>845</v>
      </c>
      <c r="E267" s="282">
        <f>ROUND(1567.45*1.0012,2)</f>
        <v>1569.33</v>
      </c>
      <c r="F267" s="286" t="s">
        <v>484</v>
      </c>
      <c r="G267" s="319"/>
    </row>
    <row r="268" spans="2:10" s="22" customFormat="1" ht="21" customHeight="1">
      <c r="B268" s="685"/>
      <c r="C268" s="711"/>
      <c r="D268" s="288" t="s">
        <v>837</v>
      </c>
      <c r="E268" s="282">
        <f>ROUND((15.89*94.2)+706.86+779.11,2)</f>
        <v>2982.81</v>
      </c>
      <c r="F268" s="286" t="s">
        <v>838</v>
      </c>
      <c r="G268" s="319"/>
    </row>
    <row r="269" spans="2:10" s="22" customFormat="1" ht="21" customHeight="1">
      <c r="B269" s="685"/>
      <c r="C269" s="711"/>
      <c r="D269" s="289" t="s">
        <v>1008</v>
      </c>
      <c r="E269" s="280">
        <f>ROUND(87+382+1224+837+1569,2)</f>
        <v>4099</v>
      </c>
      <c r="F269" s="281" t="s">
        <v>846</v>
      </c>
      <c r="G269" s="319" t="s">
        <v>1007</v>
      </c>
    </row>
    <row r="270" spans="2:10" s="22" customFormat="1" ht="21" customHeight="1">
      <c r="B270" s="685"/>
      <c r="C270" s="711"/>
      <c r="D270" s="289" t="s">
        <v>848</v>
      </c>
      <c r="E270" s="280">
        <f>ROUND(456+410,2)</f>
        <v>866</v>
      </c>
      <c r="F270" s="281" t="s">
        <v>847</v>
      </c>
      <c r="G270" s="319"/>
    </row>
    <row r="271" spans="2:10" s="22" customFormat="1" ht="21" customHeight="1">
      <c r="B271" s="685"/>
      <c r="C271" s="711"/>
      <c r="D271" s="289" t="s">
        <v>960</v>
      </c>
      <c r="E271" s="280">
        <f>ROUND(259.81*15.9+20.83*13,2)</f>
        <v>4401.7700000000004</v>
      </c>
      <c r="F271" s="281" t="s">
        <v>835</v>
      </c>
      <c r="G271" s="319" t="s">
        <v>982</v>
      </c>
    </row>
    <row r="272" spans="2:10" s="22" customFormat="1" ht="21" customHeight="1">
      <c r="B272" s="685"/>
      <c r="C272" s="711"/>
      <c r="D272" s="289" t="s">
        <v>961</v>
      </c>
      <c r="E272" s="280">
        <f>ROUND(250.91*15.9+19.94*13,2)</f>
        <v>4248.6899999999996</v>
      </c>
      <c r="F272" s="281" t="s">
        <v>836</v>
      </c>
      <c r="G272" s="319" t="s">
        <v>982</v>
      </c>
    </row>
    <row r="273" spans="2:10" s="22" customFormat="1" ht="21" customHeight="1">
      <c r="B273" s="685"/>
      <c r="C273" s="711"/>
      <c r="D273" s="289" t="s">
        <v>1213</v>
      </c>
      <c r="E273" s="280">
        <f>ROUND(113.91+182.8,2)</f>
        <v>296.70999999999998</v>
      </c>
      <c r="F273" s="281" t="s">
        <v>994</v>
      </c>
      <c r="G273" s="319"/>
    </row>
    <row r="274" spans="2:10" s="42" customFormat="1" ht="21" customHeight="1">
      <c r="B274" s="685"/>
      <c r="C274" s="711"/>
      <c r="D274" s="253" t="s">
        <v>448</v>
      </c>
      <c r="E274" s="282">
        <f>ROUND(SUM(E264:E268),0)</f>
        <v>6805</v>
      </c>
      <c r="F274" s="219"/>
      <c r="G274" s="319"/>
    </row>
    <row r="275" spans="2:10" s="42" customFormat="1" ht="21" customHeight="1">
      <c r="B275" s="686"/>
      <c r="C275" s="712"/>
      <c r="D275" s="253" t="s">
        <v>448</v>
      </c>
      <c r="E275" s="280">
        <f>ROUND(SUM(E269:E273),0)</f>
        <v>13912</v>
      </c>
      <c r="F275" s="219"/>
      <c r="G275" s="319"/>
    </row>
    <row r="276" spans="2:10" s="42" customFormat="1" ht="21" customHeight="1">
      <c r="B276" s="365"/>
      <c r="C276" s="412"/>
      <c r="D276" s="253"/>
      <c r="E276" s="280"/>
      <c r="F276" s="219"/>
      <c r="G276" s="319"/>
    </row>
    <row r="277" spans="2:10" s="42" customFormat="1" ht="21" customHeight="1">
      <c r="B277" s="687" t="s">
        <v>485</v>
      </c>
      <c r="C277" s="710" t="s">
        <v>400</v>
      </c>
      <c r="D277" s="288" t="s">
        <v>869</v>
      </c>
      <c r="E277" s="282">
        <f>ROUND(269*1,2)</f>
        <v>269</v>
      </c>
      <c r="F277" s="286" t="s">
        <v>870</v>
      </c>
      <c r="G277" s="319"/>
    </row>
    <row r="278" spans="2:10" s="42" customFormat="1" ht="21" customHeight="1">
      <c r="B278" s="688"/>
      <c r="C278" s="711"/>
      <c r="D278" s="288" t="s">
        <v>869</v>
      </c>
      <c r="E278" s="282">
        <f>ROUND(269*1,2)</f>
        <v>269</v>
      </c>
      <c r="F278" s="286" t="s">
        <v>871</v>
      </c>
      <c r="G278" s="319"/>
    </row>
    <row r="279" spans="2:10" s="42" customFormat="1" ht="21" customHeight="1">
      <c r="B279" s="688"/>
      <c r="C279" s="711"/>
      <c r="D279" s="289" t="s">
        <v>872</v>
      </c>
      <c r="E279" s="218">
        <f>ROUND(3*538,2)</f>
        <v>1614</v>
      </c>
      <c r="F279" s="281" t="s">
        <v>874</v>
      </c>
      <c r="G279" s="319"/>
    </row>
    <row r="280" spans="2:10" s="42" customFormat="1" ht="21" customHeight="1">
      <c r="B280" s="688"/>
      <c r="C280" s="711"/>
      <c r="D280" s="289" t="s">
        <v>873</v>
      </c>
      <c r="E280" s="218">
        <f>ROUND(2*9.6*12,2)</f>
        <v>230.4</v>
      </c>
      <c r="F280" s="281" t="s">
        <v>494</v>
      </c>
      <c r="G280" s="319"/>
    </row>
    <row r="281" spans="2:10" s="42" customFormat="1" ht="21" customHeight="1">
      <c r="B281" s="688"/>
      <c r="C281" s="711"/>
      <c r="D281" s="226" t="s">
        <v>401</v>
      </c>
      <c r="E281" s="282">
        <f>ROUND(SUM(E277:E278),0)</f>
        <v>538</v>
      </c>
      <c r="F281" s="219"/>
      <c r="G281" s="319"/>
    </row>
    <row r="282" spans="2:10" s="42" customFormat="1" ht="21" customHeight="1">
      <c r="B282" s="689"/>
      <c r="C282" s="712"/>
      <c r="D282" s="226" t="s">
        <v>401</v>
      </c>
      <c r="E282" s="280">
        <f>ROUND(SUM(E279:E280),0)</f>
        <v>1844</v>
      </c>
      <c r="F282" s="219"/>
      <c r="G282" s="319"/>
    </row>
    <row r="283" spans="2:10" s="42" customFormat="1" ht="21" customHeight="1">
      <c r="B283" s="244"/>
      <c r="C283" s="216"/>
      <c r="D283" s="245"/>
      <c r="E283" s="218"/>
      <c r="F283" s="219"/>
      <c r="G283" s="319"/>
    </row>
    <row r="284" spans="2:10" s="22" customFormat="1" ht="21" customHeight="1">
      <c r="B284" s="227" t="s">
        <v>486</v>
      </c>
      <c r="C284" s="710" t="s">
        <v>403</v>
      </c>
      <c r="D284" s="217" t="s">
        <v>973</v>
      </c>
      <c r="E284" s="218">
        <f>ROUND(4401*0.1,2)</f>
        <v>440.1</v>
      </c>
      <c r="F284" s="219" t="s">
        <v>481</v>
      </c>
      <c r="G284" s="319" t="s">
        <v>975</v>
      </c>
    </row>
    <row r="285" spans="2:10" s="22" customFormat="1" ht="21" customHeight="1">
      <c r="B285" s="222"/>
      <c r="C285" s="711"/>
      <c r="D285" s="223" t="s">
        <v>974</v>
      </c>
      <c r="E285" s="218">
        <f>ROUND(4249*0.1,2)</f>
        <v>424.9</v>
      </c>
      <c r="F285" s="219" t="s">
        <v>482</v>
      </c>
      <c r="G285" s="319" t="s">
        <v>975</v>
      </c>
    </row>
    <row r="286" spans="2:10" s="22" customFormat="1" ht="21" customHeight="1">
      <c r="B286" s="222"/>
      <c r="C286" s="711"/>
      <c r="D286" s="288" t="s">
        <v>830</v>
      </c>
      <c r="E286" s="282">
        <f>ROUND((382*0.1)+(156*2*0.5)+(156*3*0.1)+(796*0.5)+(1569*0.1),2)</f>
        <v>795.9</v>
      </c>
      <c r="F286" s="286" t="s">
        <v>831</v>
      </c>
      <c r="G286" s="319"/>
    </row>
    <row r="287" spans="2:10" ht="21" customHeight="1">
      <c r="B287" s="222"/>
      <c r="C287" s="711"/>
      <c r="D287" s="288" t="s">
        <v>487</v>
      </c>
      <c r="E287" s="282">
        <f>ROUND((13.51*94.25*0.1)+(706.86*0.1),2)</f>
        <v>198.02</v>
      </c>
      <c r="F287" s="286" t="s">
        <v>405</v>
      </c>
      <c r="G287" s="319"/>
    </row>
    <row r="288" spans="2:10" ht="21" customHeight="1">
      <c r="B288" s="222"/>
      <c r="C288" s="711"/>
      <c r="D288" s="288"/>
      <c r="E288" s="282">
        <f>ROUND((17.71+32.02+31.61)*0.2,2)</f>
        <v>16.27</v>
      </c>
      <c r="F288" s="286" t="s">
        <v>407</v>
      </c>
      <c r="G288" s="319"/>
      <c r="H288" s="36"/>
      <c r="I288" s="36"/>
      <c r="J288" s="36"/>
    </row>
    <row r="289" spans="2:10" ht="21" customHeight="1">
      <c r="B289" s="222"/>
      <c r="C289" s="711"/>
      <c r="D289" s="289" t="s">
        <v>1009</v>
      </c>
      <c r="E289" s="218">
        <f>ROUND(9+38+122+157+84+46+10+41,2)</f>
        <v>507</v>
      </c>
      <c r="F289" s="281" t="s">
        <v>347</v>
      </c>
      <c r="G289" s="319" t="s">
        <v>986</v>
      </c>
      <c r="H289" s="36"/>
      <c r="I289" s="36"/>
      <c r="J289" s="36"/>
    </row>
    <row r="290" spans="2:10" ht="21" customHeight="1">
      <c r="B290" s="222"/>
      <c r="C290" s="711"/>
      <c r="D290" s="289" t="s">
        <v>962</v>
      </c>
      <c r="E290" s="218">
        <f>ROUND(2+10+7+7,2)</f>
        <v>26</v>
      </c>
      <c r="F290" s="281" t="s">
        <v>353</v>
      </c>
      <c r="G290" s="319" t="s">
        <v>983</v>
      </c>
      <c r="H290" s="36"/>
      <c r="I290" s="36"/>
      <c r="J290" s="36"/>
    </row>
    <row r="291" spans="2:10" ht="21" customHeight="1">
      <c r="B291" s="222"/>
      <c r="C291" s="711"/>
      <c r="D291" s="289" t="s">
        <v>832</v>
      </c>
      <c r="E291" s="218">
        <f>ROUND(6+6+6,2)</f>
        <v>18</v>
      </c>
      <c r="F291" s="281" t="s">
        <v>407</v>
      </c>
      <c r="G291" s="319"/>
      <c r="H291" s="36"/>
      <c r="I291" s="36"/>
      <c r="J291" s="36"/>
    </row>
    <row r="292" spans="2:10" ht="21" customHeight="1">
      <c r="B292" s="222"/>
      <c r="C292" s="711"/>
      <c r="D292" s="250" t="s">
        <v>448</v>
      </c>
      <c r="E292" s="282">
        <f>ROUND(SUM(E284:E288),0)</f>
        <v>1875</v>
      </c>
      <c r="F292" s="281"/>
      <c r="G292" s="319"/>
      <c r="H292" s="36"/>
      <c r="I292" s="36"/>
      <c r="J292" s="36"/>
    </row>
    <row r="293" spans="2:10" ht="21" customHeight="1">
      <c r="B293" s="225"/>
      <c r="C293" s="712"/>
      <c r="D293" s="250" t="s">
        <v>448</v>
      </c>
      <c r="E293" s="280">
        <f>ROUND(SUM(E289:E291)+E284+E285,0)</f>
        <v>1416</v>
      </c>
      <c r="F293" s="219"/>
      <c r="G293" s="319"/>
      <c r="H293" s="36"/>
      <c r="I293" s="36"/>
      <c r="J293" s="36"/>
    </row>
    <row r="294" spans="2:10" s="47" customFormat="1" ht="21" customHeight="1">
      <c r="B294" s="244"/>
      <c r="C294" s="216"/>
      <c r="D294" s="245"/>
      <c r="E294" s="218"/>
      <c r="F294" s="219"/>
      <c r="G294" s="319"/>
    </row>
    <row r="295" spans="2:10" s="22" customFormat="1" ht="21" customHeight="1">
      <c r="B295" s="236" t="s">
        <v>488</v>
      </c>
      <c r="C295" s="723" t="s">
        <v>489</v>
      </c>
      <c r="D295" s="288" t="s">
        <v>818</v>
      </c>
      <c r="E295" s="282">
        <f>ROUND((283/0.35)*10,2)</f>
        <v>8085.71</v>
      </c>
      <c r="F295" s="286" t="s">
        <v>820</v>
      </c>
      <c r="G295" s="319"/>
      <c r="H295" s="36"/>
      <c r="I295" s="36"/>
      <c r="J295" s="45"/>
    </row>
    <row r="296" spans="2:10" s="22" customFormat="1" ht="21" customHeight="1">
      <c r="B296" s="221"/>
      <c r="C296" s="725"/>
      <c r="D296" s="288" t="s">
        <v>491</v>
      </c>
      <c r="E296" s="282">
        <f>ROUND((269/0.35)*5,2)</f>
        <v>3842.86</v>
      </c>
      <c r="F296" s="286" t="s">
        <v>821</v>
      </c>
      <c r="G296" s="319"/>
      <c r="H296" s="36"/>
      <c r="I296" s="36"/>
      <c r="J296" s="45"/>
    </row>
    <row r="297" spans="2:10" s="22" customFormat="1" ht="21" customHeight="1">
      <c r="B297" s="221"/>
      <c r="C297" s="725"/>
      <c r="D297" s="288" t="s">
        <v>492</v>
      </c>
      <c r="E297" s="282">
        <f>ROUND((272/0.35)*10,2)</f>
        <v>7771.43</v>
      </c>
      <c r="F297" s="286" t="s">
        <v>822</v>
      </c>
      <c r="G297" s="319"/>
      <c r="H297" s="36"/>
      <c r="I297" s="36"/>
      <c r="J297" s="45"/>
    </row>
    <row r="298" spans="2:10" s="22" customFormat="1" ht="21" customHeight="1">
      <c r="B298" s="221"/>
      <c r="C298" s="725"/>
      <c r="D298" s="288" t="s">
        <v>491</v>
      </c>
      <c r="E298" s="282">
        <f>ROUND((269/0.35)*5,2)</f>
        <v>3842.86</v>
      </c>
      <c r="F298" s="286" t="s">
        <v>823</v>
      </c>
      <c r="G298" s="319"/>
      <c r="H298" s="36"/>
      <c r="I298" s="36"/>
      <c r="J298" s="45"/>
    </row>
    <row r="299" spans="2:10" s="22" customFormat="1" ht="21" customHeight="1">
      <c r="B299" s="221"/>
      <c r="C299" s="725"/>
      <c r="D299" s="223" t="s">
        <v>493</v>
      </c>
      <c r="E299" s="218">
        <f>ROUND(((59+59)/0.35)*5,2)</f>
        <v>1685.71</v>
      </c>
      <c r="F299" s="219" t="s">
        <v>494</v>
      </c>
      <c r="G299" s="319"/>
      <c r="H299" s="36"/>
      <c r="I299" s="36"/>
      <c r="J299" s="45"/>
    </row>
    <row r="300" spans="2:10" s="22" customFormat="1" ht="21" customHeight="1">
      <c r="B300" s="221"/>
      <c r="C300" s="725"/>
      <c r="D300" s="223" t="s">
        <v>495</v>
      </c>
      <c r="E300" s="218">
        <f>ROUND(156/0.35*5,2)</f>
        <v>2228.5700000000002</v>
      </c>
      <c r="F300" s="219" t="s">
        <v>496</v>
      </c>
      <c r="G300" s="319"/>
      <c r="H300" s="36"/>
      <c r="I300" s="36"/>
      <c r="J300" s="45"/>
    </row>
    <row r="301" spans="2:10" s="22" customFormat="1" ht="21" customHeight="1">
      <c r="B301" s="221"/>
      <c r="C301" s="725"/>
      <c r="D301" s="289" t="s">
        <v>819</v>
      </c>
      <c r="E301" s="280">
        <f>ROUND(((283/0.35)*10)-((2/0.35)*10),2)</f>
        <v>8028.57</v>
      </c>
      <c r="F301" s="281" t="s">
        <v>490</v>
      </c>
      <c r="G301" s="319"/>
      <c r="H301" s="36"/>
      <c r="I301" s="36"/>
      <c r="J301" s="45"/>
    </row>
    <row r="302" spans="2:10" s="22" customFormat="1" ht="21" customHeight="1">
      <c r="B302" s="221"/>
      <c r="C302" s="725"/>
      <c r="D302" s="289" t="s">
        <v>827</v>
      </c>
      <c r="E302" s="280">
        <f>ROUND(((269/0.35)*5)-((22/0.35)*5),2)</f>
        <v>3528.57</v>
      </c>
      <c r="F302" s="281" t="s">
        <v>824</v>
      </c>
      <c r="G302" s="319"/>
      <c r="H302" s="36"/>
      <c r="I302" s="36"/>
      <c r="J302" s="45"/>
    </row>
    <row r="303" spans="2:10" s="22" customFormat="1" ht="21" customHeight="1">
      <c r="B303" s="221"/>
      <c r="C303" s="725"/>
      <c r="D303" s="289" t="s">
        <v>829</v>
      </c>
      <c r="E303" s="280">
        <f>ROUND(((272/0.35)*10)+((3/0.35)*10),2)</f>
        <v>7857.14</v>
      </c>
      <c r="F303" s="281" t="s">
        <v>825</v>
      </c>
      <c r="G303" s="319"/>
      <c r="H303" s="36"/>
      <c r="I303" s="36"/>
      <c r="J303" s="45"/>
    </row>
    <row r="304" spans="2:10" s="22" customFormat="1" ht="21" customHeight="1">
      <c r="B304" s="221"/>
      <c r="C304" s="725"/>
      <c r="D304" s="289" t="s">
        <v>828</v>
      </c>
      <c r="E304" s="280">
        <f>ROUND(((269/0.35)*5)-((19/0.35)*5),2)</f>
        <v>3571.43</v>
      </c>
      <c r="F304" s="281" t="s">
        <v>826</v>
      </c>
      <c r="G304" s="319"/>
      <c r="H304" s="36"/>
      <c r="I304" s="36"/>
      <c r="J304" s="45"/>
    </row>
    <row r="305" spans="2:10" s="22" customFormat="1" ht="21" customHeight="1">
      <c r="B305" s="317"/>
      <c r="C305" s="725"/>
      <c r="D305" s="289" t="s">
        <v>989</v>
      </c>
      <c r="E305" s="280">
        <f>ROUND(4*96,2)</f>
        <v>384</v>
      </c>
      <c r="F305" s="281" t="s">
        <v>963</v>
      </c>
      <c r="G305" s="319"/>
      <c r="H305" s="36"/>
      <c r="I305" s="36"/>
      <c r="J305" s="45"/>
    </row>
    <row r="306" spans="2:10" s="22" customFormat="1" ht="21" customHeight="1">
      <c r="B306" s="221"/>
      <c r="C306" s="725"/>
      <c r="D306" s="250" t="s">
        <v>448</v>
      </c>
      <c r="E306" s="282">
        <f>ROUND(SUM(E295:E300),0)</f>
        <v>27457</v>
      </c>
      <c r="F306" s="219"/>
      <c r="G306" s="319"/>
      <c r="H306" s="36"/>
      <c r="I306" s="36"/>
      <c r="J306" s="45"/>
    </row>
    <row r="307" spans="2:10" ht="21" customHeight="1">
      <c r="B307" s="238"/>
      <c r="C307" s="724"/>
      <c r="D307" s="250" t="s">
        <v>448</v>
      </c>
      <c r="E307" s="280">
        <f>ROUND(SUM(E299:E305),0)</f>
        <v>27284</v>
      </c>
      <c r="F307" s="219"/>
      <c r="G307" s="319"/>
    </row>
    <row r="308" spans="2:10" ht="21" customHeight="1">
      <c r="B308" s="244"/>
      <c r="C308" s="216"/>
      <c r="D308" s="250"/>
      <c r="E308" s="218"/>
      <c r="F308" s="219"/>
      <c r="G308" s="319"/>
    </row>
    <row r="309" spans="2:10" ht="21" customHeight="1">
      <c r="B309" s="719" t="s">
        <v>497</v>
      </c>
      <c r="C309" s="714" t="s">
        <v>498</v>
      </c>
      <c r="D309" s="288">
        <v>13</v>
      </c>
      <c r="E309" s="282">
        <f>ROUND(D309,2)</f>
        <v>13</v>
      </c>
      <c r="F309" s="254"/>
      <c r="G309" s="319"/>
    </row>
    <row r="310" spans="2:10" s="46" customFormat="1" ht="21" customHeight="1">
      <c r="B310" s="720"/>
      <c r="C310" s="715"/>
      <c r="D310" s="226" t="s">
        <v>401</v>
      </c>
      <c r="E310" s="282">
        <f>ROUND(SUM(E309:E309),0)</f>
        <v>13</v>
      </c>
      <c r="F310" s="254"/>
      <c r="G310" s="319"/>
    </row>
    <row r="311" spans="2:10" s="22" customFormat="1" ht="21" customHeight="1">
      <c r="B311" s="244"/>
      <c r="C311" s="216"/>
      <c r="D311" s="245"/>
      <c r="E311" s="218"/>
      <c r="F311" s="254"/>
      <c r="G311" s="319"/>
    </row>
    <row r="312" spans="2:10" s="22" customFormat="1" ht="21" customHeight="1">
      <c r="B312" s="691" t="s">
        <v>1349</v>
      </c>
      <c r="C312" s="723" t="s">
        <v>498</v>
      </c>
      <c r="D312" s="223" t="s">
        <v>499</v>
      </c>
      <c r="E312" s="218">
        <f>ROUND(13+2,2)</f>
        <v>15</v>
      </c>
      <c r="F312" s="254"/>
      <c r="G312" s="319"/>
    </row>
    <row r="313" spans="2:10" s="47" customFormat="1" ht="21" customHeight="1">
      <c r="B313" s="692"/>
      <c r="C313" s="724"/>
      <c r="D313" s="226" t="s">
        <v>401</v>
      </c>
      <c r="E313" s="218">
        <f>ROUND(SUM(E312:E312),0)</f>
        <v>15</v>
      </c>
      <c r="F313" s="254"/>
      <c r="G313" s="319"/>
    </row>
    <row r="314" spans="2:10" s="47" customFormat="1" ht="21" customHeight="1">
      <c r="B314" s="244"/>
      <c r="C314" s="216"/>
      <c r="D314" s="245"/>
      <c r="E314" s="218"/>
      <c r="F314" s="254"/>
      <c r="G314" s="319"/>
    </row>
    <row r="315" spans="2:10" s="47" customFormat="1" ht="21" customHeight="1">
      <c r="B315" s="702" t="s">
        <v>500</v>
      </c>
      <c r="C315" s="723" t="s">
        <v>498</v>
      </c>
      <c r="D315" s="223">
        <v>2</v>
      </c>
      <c r="E315" s="218">
        <f>ROUND(D315,2)</f>
        <v>2</v>
      </c>
      <c r="F315" s="254"/>
      <c r="G315" s="319"/>
    </row>
    <row r="316" spans="2:10" s="47" customFormat="1" ht="21" customHeight="1">
      <c r="B316" s="703"/>
      <c r="C316" s="725"/>
      <c r="D316" s="289">
        <v>8</v>
      </c>
      <c r="E316" s="280">
        <v>8</v>
      </c>
      <c r="F316" s="254"/>
      <c r="G316" s="319"/>
    </row>
    <row r="317" spans="2:10" s="47" customFormat="1" ht="21" customHeight="1">
      <c r="B317" s="703"/>
      <c r="C317" s="725"/>
      <c r="D317" s="226" t="s">
        <v>401</v>
      </c>
      <c r="E317" s="282">
        <f>ROUND(SUM(E315:E315),0)</f>
        <v>2</v>
      </c>
      <c r="F317" s="254"/>
      <c r="G317" s="319"/>
    </row>
    <row r="318" spans="2:10" s="47" customFormat="1" ht="21" customHeight="1">
      <c r="B318" s="704"/>
      <c r="C318" s="724"/>
      <c r="D318" s="226" t="s">
        <v>401</v>
      </c>
      <c r="E318" s="280">
        <f>ROUND(SUM(E315:E316),0)</f>
        <v>10</v>
      </c>
      <c r="F318" s="254"/>
      <c r="G318" s="319"/>
    </row>
    <row r="319" spans="2:10" s="47" customFormat="1" ht="21" customHeight="1">
      <c r="B319" s="248"/>
      <c r="C319" s="216"/>
      <c r="D319" s="226"/>
      <c r="E319" s="280"/>
      <c r="F319" s="254"/>
      <c r="G319" s="319"/>
    </row>
    <row r="320" spans="2:10" s="47" customFormat="1" ht="21" customHeight="1">
      <c r="B320" s="691" t="s">
        <v>782</v>
      </c>
      <c r="C320" s="723" t="s">
        <v>498</v>
      </c>
      <c r="D320" s="223" t="s">
        <v>501</v>
      </c>
      <c r="E320" s="218">
        <f>ROUND((18+8+8+8)*16,2)</f>
        <v>672</v>
      </c>
      <c r="F320" s="254"/>
      <c r="G320" s="319"/>
    </row>
    <row r="321" spans="2:9" s="47" customFormat="1" ht="21" customHeight="1">
      <c r="B321" s="692"/>
      <c r="C321" s="724"/>
      <c r="D321" s="226" t="s">
        <v>401</v>
      </c>
      <c r="E321" s="218">
        <f>ROUND(SUM(E320:E320),0)</f>
        <v>672</v>
      </c>
      <c r="F321" s="254"/>
      <c r="G321" s="319"/>
    </row>
    <row r="322" spans="2:9" ht="21" customHeight="1">
      <c r="B322" s="244"/>
      <c r="C322" s="216"/>
      <c r="D322" s="245"/>
      <c r="E322" s="218"/>
      <c r="F322" s="254"/>
      <c r="G322" s="319"/>
      <c r="I322" s="27"/>
    </row>
    <row r="323" spans="2:9" ht="21" customHeight="1">
      <c r="B323" s="691" t="s">
        <v>502</v>
      </c>
      <c r="C323" s="723" t="s">
        <v>498</v>
      </c>
      <c r="D323" s="223" t="s">
        <v>503</v>
      </c>
      <c r="E323" s="218">
        <f>ROUND(156*9,2)</f>
        <v>1404</v>
      </c>
      <c r="F323" s="254"/>
      <c r="G323" s="319"/>
      <c r="I323" s="27"/>
    </row>
    <row r="324" spans="2:9" ht="21" customHeight="1">
      <c r="B324" s="692"/>
      <c r="C324" s="724"/>
      <c r="D324" s="226" t="s">
        <v>401</v>
      </c>
      <c r="E324" s="218">
        <f>ROUND(SUM(E323:E323),0)</f>
        <v>1404</v>
      </c>
      <c r="F324" s="254"/>
      <c r="G324" s="319"/>
    </row>
    <row r="325" spans="2:9" ht="21" customHeight="1">
      <c r="B325" s="255"/>
      <c r="C325" s="256"/>
      <c r="D325" s="257"/>
      <c r="E325" s="258"/>
      <c r="F325" s="259"/>
      <c r="G325" s="319"/>
    </row>
    <row r="326" spans="2:9" ht="21" customHeight="1">
      <c r="B326" s="691" t="s">
        <v>504</v>
      </c>
      <c r="C326" s="723" t="s">
        <v>498</v>
      </c>
      <c r="D326" s="287" t="s">
        <v>505</v>
      </c>
      <c r="E326" s="282">
        <f>ROUND((5+5+5)*16,2)</f>
        <v>240</v>
      </c>
      <c r="F326" s="254"/>
      <c r="G326" s="319"/>
    </row>
    <row r="327" spans="2:9" ht="21" customHeight="1">
      <c r="B327" s="693"/>
      <c r="C327" s="725"/>
      <c r="D327" s="289" t="s">
        <v>783</v>
      </c>
      <c r="E327" s="280">
        <f>ROUND(9423+45+45+45,2)</f>
        <v>9558</v>
      </c>
      <c r="F327" s="254"/>
      <c r="G327" s="319"/>
    </row>
    <row r="328" spans="2:9" ht="21" customHeight="1">
      <c r="B328" s="693"/>
      <c r="C328" s="725"/>
      <c r="D328" s="226" t="s">
        <v>401</v>
      </c>
      <c r="E328" s="282">
        <f>ROUND(SUM(E326),0)</f>
        <v>240</v>
      </c>
      <c r="F328" s="254"/>
      <c r="G328" s="319"/>
    </row>
    <row r="329" spans="2:9" ht="21" customHeight="1">
      <c r="B329" s="692"/>
      <c r="C329" s="724"/>
      <c r="D329" s="226" t="s">
        <v>401</v>
      </c>
      <c r="E329" s="280">
        <f>ROUND(SUM(E327),0)</f>
        <v>9558</v>
      </c>
      <c r="F329" s="254"/>
      <c r="G329" s="319"/>
    </row>
    <row r="330" spans="2:9" ht="21" customHeight="1">
      <c r="B330" s="255"/>
      <c r="C330" s="256"/>
      <c r="D330" s="257"/>
      <c r="E330" s="258"/>
      <c r="F330" s="259"/>
      <c r="G330" s="319"/>
    </row>
    <row r="331" spans="2:9" ht="21" customHeight="1">
      <c r="B331" s="719" t="s">
        <v>784</v>
      </c>
      <c r="C331" s="714" t="s">
        <v>785</v>
      </c>
      <c r="D331" s="288" t="s">
        <v>506</v>
      </c>
      <c r="E331" s="282">
        <f>ROUND((9+9+9+167)*16,2)</f>
        <v>3104</v>
      </c>
      <c r="F331" s="254"/>
      <c r="G331" s="319"/>
    </row>
    <row r="332" spans="2:9" ht="21" customHeight="1">
      <c r="B332" s="720"/>
      <c r="C332" s="715"/>
      <c r="D332" s="226"/>
      <c r="E332" s="282">
        <f>ROUND(SUM(E331:E331),0)</f>
        <v>3104</v>
      </c>
      <c r="F332" s="254"/>
      <c r="G332" s="319"/>
    </row>
    <row r="333" spans="2:9" ht="21" customHeight="1">
      <c r="B333" s="293"/>
      <c r="C333" s="216"/>
      <c r="D333" s="226"/>
      <c r="E333" s="282"/>
      <c r="F333" s="254"/>
      <c r="G333" s="319"/>
    </row>
    <row r="334" spans="2:9" ht="21" customHeight="1">
      <c r="B334" s="681" t="s">
        <v>786</v>
      </c>
      <c r="C334" s="729" t="s">
        <v>787</v>
      </c>
      <c r="D334" s="289" t="s">
        <v>788</v>
      </c>
      <c r="E334" s="280">
        <f>ROUND((102.4+90+(6*30)+85+72.6+(24*6)),2)</f>
        <v>674</v>
      </c>
      <c r="F334" s="33"/>
      <c r="G334" s="319"/>
    </row>
    <row r="335" spans="2:9" ht="21" customHeight="1">
      <c r="B335" s="682"/>
      <c r="C335" s="730"/>
      <c r="D335" s="292" t="s">
        <v>789</v>
      </c>
      <c r="E335" s="280">
        <f>ROUND(SUM(E334),0)</f>
        <v>674</v>
      </c>
      <c r="F335" s="33"/>
      <c r="G335" s="319"/>
    </row>
    <row r="336" spans="2:9" ht="21" customHeight="1">
      <c r="B336" s="290"/>
      <c r="C336" s="291"/>
      <c r="D336" s="289"/>
      <c r="E336" s="280"/>
      <c r="F336" s="33"/>
      <c r="G336" s="319"/>
    </row>
    <row r="337" spans="2:7" ht="21" customHeight="1">
      <c r="B337" s="681" t="s">
        <v>790</v>
      </c>
      <c r="C337" s="729" t="s">
        <v>787</v>
      </c>
      <c r="D337" s="289" t="s">
        <v>972</v>
      </c>
      <c r="E337" s="280">
        <f>ROUND((1408-11)/3*3,2)</f>
        <v>1397</v>
      </c>
      <c r="F337" s="33"/>
      <c r="G337" s="319" t="s">
        <v>971</v>
      </c>
    </row>
    <row r="338" spans="2:7" ht="21" customHeight="1">
      <c r="B338" s="682"/>
      <c r="C338" s="730"/>
      <c r="D338" s="292" t="s">
        <v>789</v>
      </c>
      <c r="E338" s="280">
        <f>ROUND(SUM(E337),0)</f>
        <v>1397</v>
      </c>
      <c r="F338" s="33"/>
      <c r="G338" s="319"/>
    </row>
    <row r="339" spans="2:7" ht="21" customHeight="1">
      <c r="B339" s="290"/>
      <c r="C339" s="291"/>
      <c r="D339" s="289"/>
      <c r="E339" s="280"/>
      <c r="F339" s="33"/>
      <c r="G339" s="319"/>
    </row>
    <row r="340" spans="2:7" ht="21" customHeight="1">
      <c r="B340" s="683" t="s">
        <v>791</v>
      </c>
      <c r="C340" s="731" t="s">
        <v>792</v>
      </c>
      <c r="D340" s="289" t="s">
        <v>793</v>
      </c>
      <c r="E340" s="280">
        <f>ROUND(2+2,2)</f>
        <v>4</v>
      </c>
      <c r="F340" s="33"/>
      <c r="G340" s="319"/>
    </row>
    <row r="341" spans="2:7" ht="21" customHeight="1">
      <c r="B341" s="682"/>
      <c r="C341" s="732"/>
      <c r="D341" s="292" t="s">
        <v>789</v>
      </c>
      <c r="E341" s="280">
        <f>ROUND(SUM(E340),0)</f>
        <v>4</v>
      </c>
      <c r="F341" s="33"/>
      <c r="G341" s="319"/>
    </row>
    <row r="342" spans="2:7" ht="21" customHeight="1">
      <c r="B342" s="290"/>
      <c r="C342" s="291"/>
      <c r="D342" s="289"/>
      <c r="E342" s="280"/>
      <c r="F342" s="34"/>
      <c r="G342" s="319"/>
    </row>
    <row r="343" spans="2:7" ht="24.75" customHeight="1">
      <c r="B343" s="683" t="s">
        <v>1350</v>
      </c>
      <c r="C343" s="731" t="s">
        <v>808</v>
      </c>
      <c r="D343" s="289" t="s">
        <v>999</v>
      </c>
      <c r="E343" s="280">
        <v>22</v>
      </c>
      <c r="F343" s="34"/>
      <c r="G343" s="319"/>
    </row>
    <row r="344" spans="2:7" ht="24.75" customHeight="1">
      <c r="B344" s="682"/>
      <c r="C344" s="732"/>
      <c r="D344" s="292" t="s">
        <v>789</v>
      </c>
      <c r="E344" s="280">
        <f>ROUND(SUM(E343),0)</f>
        <v>22</v>
      </c>
      <c r="F344" s="34"/>
      <c r="G344" s="319"/>
    </row>
    <row r="345" spans="2:7" ht="21" customHeight="1">
      <c r="B345" s="290"/>
      <c r="C345" s="291"/>
      <c r="D345" s="289"/>
      <c r="E345" s="280"/>
      <c r="F345" s="33"/>
      <c r="G345" s="319"/>
    </row>
    <row r="346" spans="2:7" ht="21" customHeight="1">
      <c r="B346" s="628" t="s">
        <v>794</v>
      </c>
      <c r="C346" s="731" t="s">
        <v>795</v>
      </c>
      <c r="D346" s="289">
        <v>1</v>
      </c>
      <c r="E346" s="280">
        <f>ROUND(1,2)</f>
        <v>1</v>
      </c>
      <c r="F346" s="33"/>
      <c r="G346" s="319"/>
    </row>
    <row r="347" spans="2:7" ht="21" customHeight="1">
      <c r="B347" s="629"/>
      <c r="C347" s="732"/>
      <c r="D347" s="292" t="s">
        <v>789</v>
      </c>
      <c r="E347" s="280">
        <f>ROUND(SUM(E346),0)</f>
        <v>1</v>
      </c>
      <c r="F347" s="33"/>
      <c r="G347" s="319"/>
    </row>
    <row r="348" spans="2:7" ht="21" customHeight="1">
      <c r="B348" s="290"/>
      <c r="C348" s="291"/>
      <c r="D348" s="289"/>
      <c r="E348" s="280"/>
      <c r="F348" s="33"/>
      <c r="G348" s="319"/>
    </row>
    <row r="349" spans="2:7" ht="21" customHeight="1">
      <c r="B349" s="690" t="s">
        <v>597</v>
      </c>
      <c r="C349" s="731" t="s">
        <v>796</v>
      </c>
      <c r="D349" s="289" t="s">
        <v>797</v>
      </c>
      <c r="E349" s="280">
        <f>ROUND(1+1,2)</f>
        <v>2</v>
      </c>
      <c r="F349" s="33"/>
      <c r="G349" s="319"/>
    </row>
    <row r="350" spans="2:7" ht="21" customHeight="1">
      <c r="B350" s="690"/>
      <c r="C350" s="732"/>
      <c r="D350" s="292" t="s">
        <v>789</v>
      </c>
      <c r="E350" s="280">
        <f>ROUND(SUM(E349),0)</f>
        <v>2</v>
      </c>
      <c r="F350" s="33"/>
      <c r="G350" s="319"/>
    </row>
    <row r="351" spans="2:7" ht="21" customHeight="1">
      <c r="B351" s="290"/>
      <c r="C351" s="290"/>
      <c r="D351" s="289"/>
      <c r="E351" s="280"/>
      <c r="F351" s="33"/>
      <c r="G351" s="319"/>
    </row>
    <row r="352" spans="2:7" ht="21" customHeight="1">
      <c r="B352" s="681" t="s">
        <v>798</v>
      </c>
      <c r="C352" s="731" t="s">
        <v>796</v>
      </c>
      <c r="D352" s="289">
        <v>1</v>
      </c>
      <c r="E352" s="280">
        <f>ROUND(1,2)</f>
        <v>1</v>
      </c>
      <c r="F352" s="33"/>
      <c r="G352" s="319"/>
    </row>
    <row r="353" spans="2:7" ht="21" customHeight="1">
      <c r="B353" s="682"/>
      <c r="C353" s="732"/>
      <c r="D353" s="292" t="s">
        <v>789</v>
      </c>
      <c r="E353" s="280">
        <f>ROUND(SUM(E352),0)</f>
        <v>1</v>
      </c>
      <c r="F353" s="33"/>
      <c r="G353" s="319"/>
    </row>
    <row r="354" spans="2:7" ht="21" customHeight="1">
      <c r="B354" s="290"/>
      <c r="C354" s="291"/>
      <c r="D354" s="289"/>
      <c r="E354" s="280"/>
      <c r="F354" s="33"/>
      <c r="G354" s="319"/>
    </row>
    <row r="355" spans="2:7" ht="21" customHeight="1">
      <c r="B355" s="681" t="s">
        <v>799</v>
      </c>
      <c r="C355" s="729" t="s">
        <v>800</v>
      </c>
      <c r="D355" s="289">
        <v>58</v>
      </c>
      <c r="E355" s="280">
        <f>ROUND(58,2)</f>
        <v>58</v>
      </c>
      <c r="F355" s="33"/>
      <c r="G355" s="319" t="s">
        <v>970</v>
      </c>
    </row>
    <row r="356" spans="2:7" ht="21" customHeight="1">
      <c r="B356" s="682"/>
      <c r="C356" s="730"/>
      <c r="D356" s="292" t="s">
        <v>789</v>
      </c>
      <c r="E356" s="280">
        <f>ROUND(SUM(E355),0)</f>
        <v>58</v>
      </c>
      <c r="F356" s="33"/>
      <c r="G356" s="319"/>
    </row>
    <row r="357" spans="2:7" ht="21" customHeight="1">
      <c r="B357" s="290"/>
      <c r="C357" s="291"/>
      <c r="D357" s="289"/>
      <c r="E357" s="280"/>
      <c r="F357" s="33"/>
      <c r="G357" s="319"/>
    </row>
    <row r="358" spans="2:7" ht="21" customHeight="1">
      <c r="B358" s="681" t="s">
        <v>801</v>
      </c>
      <c r="C358" s="729" t="s">
        <v>800</v>
      </c>
      <c r="D358" s="289">
        <v>12</v>
      </c>
      <c r="E358" s="280">
        <f>ROUND(12,2)</f>
        <v>12</v>
      </c>
      <c r="F358" s="33"/>
      <c r="G358" s="319"/>
    </row>
    <row r="359" spans="2:7" ht="21" customHeight="1">
      <c r="B359" s="682"/>
      <c r="C359" s="730"/>
      <c r="D359" s="292" t="s">
        <v>789</v>
      </c>
      <c r="E359" s="280">
        <f>ROUND(SUM(E358),0)</f>
        <v>12</v>
      </c>
      <c r="F359" s="33"/>
      <c r="G359" s="319"/>
    </row>
    <row r="360" spans="2:7" ht="21" customHeight="1">
      <c r="B360" s="290"/>
      <c r="C360" s="291"/>
      <c r="D360" s="289"/>
      <c r="E360" s="280"/>
      <c r="F360" s="33"/>
      <c r="G360" s="319"/>
    </row>
    <row r="361" spans="2:7" ht="21" customHeight="1">
      <c r="B361" s="681" t="s">
        <v>802</v>
      </c>
      <c r="C361" s="729" t="s">
        <v>410</v>
      </c>
      <c r="D361" s="289">
        <v>1</v>
      </c>
      <c r="E361" s="280">
        <f>ROUND(1,2)</f>
        <v>1</v>
      </c>
      <c r="F361" s="33"/>
      <c r="G361" s="319"/>
    </row>
    <row r="362" spans="2:7" ht="21" customHeight="1">
      <c r="B362" s="682"/>
      <c r="C362" s="730"/>
      <c r="D362" s="292" t="s">
        <v>789</v>
      </c>
      <c r="E362" s="280">
        <f>ROUND(SUM(E361),0)</f>
        <v>1</v>
      </c>
      <c r="F362" s="33"/>
      <c r="G362" s="319"/>
    </row>
    <row r="363" spans="2:7" ht="21" customHeight="1">
      <c r="B363" s="290"/>
      <c r="C363" s="291"/>
      <c r="D363" s="289"/>
      <c r="E363" s="280"/>
      <c r="F363" s="34"/>
      <c r="G363" s="319"/>
    </row>
    <row r="364" spans="2:7" ht="21" customHeight="1">
      <c r="B364" s="294" t="s">
        <v>604</v>
      </c>
      <c r="C364" s="731" t="s">
        <v>796</v>
      </c>
      <c r="D364" s="289" t="s">
        <v>803</v>
      </c>
      <c r="E364" s="280">
        <f>ROUND(1+1+1+1,2)</f>
        <v>4</v>
      </c>
      <c r="F364" s="34"/>
      <c r="G364" s="319"/>
    </row>
    <row r="365" spans="2:7" ht="21" customHeight="1">
      <c r="B365" s="295"/>
      <c r="C365" s="732"/>
      <c r="D365" s="292" t="s">
        <v>789</v>
      </c>
      <c r="E365" s="280">
        <f>ROUND(SUM(E364),0)</f>
        <v>4</v>
      </c>
      <c r="F365" s="34"/>
      <c r="G365" s="319"/>
    </row>
    <row r="366" spans="2:7" ht="21" customHeight="1">
      <c r="B366" s="290"/>
      <c r="C366" s="291"/>
      <c r="D366" s="289"/>
      <c r="E366" s="280"/>
      <c r="F366" s="34"/>
      <c r="G366" s="319"/>
    </row>
    <row r="367" spans="2:7" ht="21" customHeight="1">
      <c r="B367" s="681" t="s">
        <v>804</v>
      </c>
      <c r="C367" s="729" t="s">
        <v>800</v>
      </c>
      <c r="D367" s="289">
        <v>60</v>
      </c>
      <c r="E367" s="280">
        <f>ROUND(60,2)</f>
        <v>60</v>
      </c>
      <c r="F367" s="34"/>
      <c r="G367" s="319"/>
    </row>
    <row r="368" spans="2:7" ht="21" customHeight="1">
      <c r="B368" s="682"/>
      <c r="C368" s="730"/>
      <c r="D368" s="292" t="s">
        <v>789</v>
      </c>
      <c r="E368" s="280">
        <f>ROUND(SUM(E367),0)</f>
        <v>60</v>
      </c>
      <c r="F368" s="34"/>
      <c r="G368" s="319"/>
    </row>
    <row r="369" spans="2:7" ht="21" customHeight="1">
      <c r="B369" s="290"/>
      <c r="C369" s="291"/>
      <c r="D369" s="289"/>
      <c r="E369" s="280"/>
      <c r="F369" s="34"/>
      <c r="G369" s="319"/>
    </row>
    <row r="370" spans="2:7" ht="21" customHeight="1">
      <c r="B370" s="681" t="s">
        <v>805</v>
      </c>
      <c r="C370" s="729" t="s">
        <v>787</v>
      </c>
      <c r="D370" s="436">
        <v>18</v>
      </c>
      <c r="E370" s="437">
        <f>ROUND(18,2)</f>
        <v>18</v>
      </c>
      <c r="F370" s="34"/>
      <c r="G370" s="319"/>
    </row>
    <row r="371" spans="2:7" ht="21" customHeight="1">
      <c r="B371" s="682"/>
      <c r="C371" s="730"/>
      <c r="D371" s="438" t="s">
        <v>789</v>
      </c>
      <c r="E371" s="437">
        <f>ROUND(SUM(E370),0)</f>
        <v>18</v>
      </c>
      <c r="F371" s="34"/>
      <c r="G371" s="319"/>
    </row>
    <row r="372" spans="2:7" ht="21" customHeight="1">
      <c r="B372" s="290"/>
      <c r="C372" s="291"/>
      <c r="D372" s="289"/>
      <c r="E372" s="280"/>
      <c r="F372" s="34"/>
      <c r="G372" s="319"/>
    </row>
    <row r="373" spans="2:7" ht="24" customHeight="1">
      <c r="B373" s="683" t="s">
        <v>809</v>
      </c>
      <c r="C373" s="731" t="s">
        <v>808</v>
      </c>
      <c r="D373" s="289" t="s">
        <v>814</v>
      </c>
      <c r="E373" s="280">
        <f>ROUND(6+4+6,2)</f>
        <v>16</v>
      </c>
      <c r="F373" s="34"/>
      <c r="G373" s="319"/>
    </row>
    <row r="374" spans="2:7" ht="24" customHeight="1">
      <c r="B374" s="682"/>
      <c r="C374" s="732"/>
      <c r="D374" s="292" t="s">
        <v>789</v>
      </c>
      <c r="E374" s="280">
        <f>ROUND(SUM(E373),0)</f>
        <v>16</v>
      </c>
      <c r="F374" s="34"/>
      <c r="G374" s="319"/>
    </row>
    <row r="375" spans="2:7" ht="21" customHeight="1">
      <c r="B375" s="290"/>
      <c r="C375" s="291"/>
      <c r="D375" s="289"/>
      <c r="E375" s="280"/>
      <c r="F375" s="34"/>
      <c r="G375" s="319"/>
    </row>
    <row r="376" spans="2:7" ht="21" customHeight="1">
      <c r="B376" s="683" t="s">
        <v>810</v>
      </c>
      <c r="C376" s="731" t="s">
        <v>808</v>
      </c>
      <c r="D376" s="289" t="s">
        <v>815</v>
      </c>
      <c r="E376" s="280">
        <f>ROUND(81+1161+81,2)</f>
        <v>1323</v>
      </c>
      <c r="F376" s="34"/>
      <c r="G376" s="319"/>
    </row>
    <row r="377" spans="2:7" ht="21" customHeight="1">
      <c r="B377" s="682"/>
      <c r="C377" s="732"/>
      <c r="D377" s="292" t="s">
        <v>789</v>
      </c>
      <c r="E377" s="280">
        <f>ROUND(SUM(E376),0)</f>
        <v>1323</v>
      </c>
      <c r="F377" s="34"/>
      <c r="G377" s="319"/>
    </row>
    <row r="378" spans="2:7" ht="21" customHeight="1">
      <c r="B378" s="28"/>
      <c r="C378" s="29"/>
      <c r="D378" s="26"/>
      <c r="E378" s="30"/>
      <c r="F378" s="34"/>
      <c r="G378" s="319"/>
    </row>
    <row r="379" spans="2:7" ht="21" customHeight="1">
      <c r="B379" s="683" t="s">
        <v>811</v>
      </c>
      <c r="C379" s="731" t="s">
        <v>808</v>
      </c>
      <c r="D379" s="289" t="s">
        <v>816</v>
      </c>
      <c r="E379" s="280">
        <f>ROUND(120*16,2)</f>
        <v>1920</v>
      </c>
      <c r="F379" s="31"/>
      <c r="G379" s="319"/>
    </row>
    <row r="380" spans="2:7" ht="21" customHeight="1">
      <c r="B380" s="682"/>
      <c r="C380" s="732"/>
      <c r="D380" s="292" t="s">
        <v>789</v>
      </c>
      <c r="E380" s="280">
        <f>ROUND(SUM(E379),0)</f>
        <v>1920</v>
      </c>
      <c r="F380" s="31"/>
      <c r="G380" s="319"/>
    </row>
    <row r="381" spans="2:7" ht="21" customHeight="1">
      <c r="B381" s="31"/>
      <c r="C381" s="26"/>
      <c r="D381" s="26"/>
      <c r="E381" s="30"/>
      <c r="F381" s="31"/>
      <c r="G381" s="319"/>
    </row>
    <row r="382" spans="2:7" ht="21" customHeight="1">
      <c r="B382" s="683" t="s">
        <v>812</v>
      </c>
      <c r="C382" s="731" t="s">
        <v>808</v>
      </c>
      <c r="D382" s="289" t="s">
        <v>817</v>
      </c>
      <c r="E382" s="280">
        <f>ROUND(200*9,2)</f>
        <v>1800</v>
      </c>
      <c r="F382" s="31"/>
      <c r="G382" s="319"/>
    </row>
    <row r="383" spans="2:7" ht="21" customHeight="1">
      <c r="B383" s="682"/>
      <c r="C383" s="732"/>
      <c r="D383" s="292" t="s">
        <v>789</v>
      </c>
      <c r="E383" s="280">
        <f>ROUND(SUM(E382),0)</f>
        <v>1800</v>
      </c>
      <c r="F383" s="31"/>
      <c r="G383" s="319"/>
    </row>
    <row r="384" spans="2:7" ht="21" customHeight="1">
      <c r="B384" s="314"/>
      <c r="C384" s="291"/>
      <c r="D384" s="292"/>
      <c r="E384" s="280"/>
      <c r="F384" s="31"/>
      <c r="G384" s="319"/>
    </row>
    <row r="385" spans="2:7" ht="21" customHeight="1">
      <c r="B385" s="681" t="s">
        <v>806</v>
      </c>
      <c r="C385" s="731" t="s">
        <v>796</v>
      </c>
      <c r="D385" s="289">
        <v>14</v>
      </c>
      <c r="E385" s="280">
        <f>ROUND(14,2)</f>
        <v>14</v>
      </c>
      <c r="F385" s="34"/>
      <c r="G385" s="319"/>
    </row>
    <row r="386" spans="2:7" ht="21" customHeight="1">
      <c r="B386" s="682"/>
      <c r="C386" s="732"/>
      <c r="D386" s="292" t="s">
        <v>789</v>
      </c>
      <c r="E386" s="280">
        <f>ROUND(SUM(E385),0)</f>
        <v>14</v>
      </c>
      <c r="F386" s="34"/>
      <c r="G386" s="319"/>
    </row>
    <row r="387" spans="2:7" ht="21" customHeight="1">
      <c r="B387" s="290"/>
      <c r="C387" s="291"/>
      <c r="D387" s="289"/>
      <c r="E387" s="280"/>
      <c r="F387" s="34"/>
      <c r="G387" s="319"/>
    </row>
    <row r="388" spans="2:7" ht="21" customHeight="1">
      <c r="B388" s="681" t="s">
        <v>807</v>
      </c>
      <c r="C388" s="731" t="s">
        <v>796</v>
      </c>
      <c r="D388" s="289">
        <v>103</v>
      </c>
      <c r="E388" s="280">
        <f>ROUND(103,2)</f>
        <v>103</v>
      </c>
      <c r="F388" s="34"/>
      <c r="G388" s="319"/>
    </row>
    <row r="389" spans="2:7" ht="21" customHeight="1">
      <c r="B389" s="682"/>
      <c r="C389" s="732"/>
      <c r="D389" s="292" t="s">
        <v>789</v>
      </c>
      <c r="E389" s="280">
        <f>ROUND(SUM(E388),0)</f>
        <v>103</v>
      </c>
      <c r="F389" s="34"/>
      <c r="G389" s="319"/>
    </row>
    <row r="390" spans="2:7" ht="21" customHeight="1">
      <c r="B390" s="31"/>
      <c r="C390" s="26"/>
      <c r="D390" s="26"/>
      <c r="E390" s="30"/>
      <c r="F390" s="31"/>
      <c r="G390" s="319"/>
    </row>
    <row r="391" spans="2:7" ht="21" customHeight="1">
      <c r="B391" s="681" t="s">
        <v>813</v>
      </c>
      <c r="C391" s="731" t="s">
        <v>796</v>
      </c>
      <c r="D391" s="289" t="s">
        <v>949</v>
      </c>
      <c r="E391" s="280">
        <f>ROUND(25+8+4+4+4,2)</f>
        <v>45</v>
      </c>
      <c r="F391" s="31"/>
      <c r="G391" s="319"/>
    </row>
    <row r="392" spans="2:7" ht="21" customHeight="1">
      <c r="B392" s="682"/>
      <c r="C392" s="732"/>
      <c r="D392" s="292" t="s">
        <v>789</v>
      </c>
      <c r="E392" s="280">
        <f>ROUND(SUM(E391),0)</f>
        <v>45</v>
      </c>
      <c r="F392" s="31"/>
      <c r="G392" s="319"/>
    </row>
  </sheetData>
  <mergeCells count="124">
    <mergeCell ref="C382:C383"/>
    <mergeCell ref="C385:C386"/>
    <mergeCell ref="C388:C389"/>
    <mergeCell ref="C391:C392"/>
    <mergeCell ref="C367:C368"/>
    <mergeCell ref="C370:C371"/>
    <mergeCell ref="C373:C374"/>
    <mergeCell ref="C376:C377"/>
    <mergeCell ref="C379:C380"/>
    <mergeCell ref="C355:C356"/>
    <mergeCell ref="C358:C359"/>
    <mergeCell ref="C361:C362"/>
    <mergeCell ref="C364:C365"/>
    <mergeCell ref="C337:C338"/>
    <mergeCell ref="C340:C341"/>
    <mergeCell ref="C343:C344"/>
    <mergeCell ref="C346:C347"/>
    <mergeCell ref="C349:C350"/>
    <mergeCell ref="C326:C329"/>
    <mergeCell ref="C331:C332"/>
    <mergeCell ref="C334:C335"/>
    <mergeCell ref="C309:C310"/>
    <mergeCell ref="C312:C313"/>
    <mergeCell ref="B315:B318"/>
    <mergeCell ref="C315:C318"/>
    <mergeCell ref="C352:C353"/>
    <mergeCell ref="B331:B332"/>
    <mergeCell ref="C284:C293"/>
    <mergeCell ref="C295:C307"/>
    <mergeCell ref="C245:C246"/>
    <mergeCell ref="C248:C249"/>
    <mergeCell ref="C251:C252"/>
    <mergeCell ref="C254:C255"/>
    <mergeCell ref="C257:C258"/>
    <mergeCell ref="C320:C321"/>
    <mergeCell ref="C323:C324"/>
    <mergeCell ref="C99:C101"/>
    <mergeCell ref="B103:B107"/>
    <mergeCell ref="C103:C107"/>
    <mergeCell ref="C197:C199"/>
    <mergeCell ref="C201:C205"/>
    <mergeCell ref="C207:C208"/>
    <mergeCell ref="C152:C155"/>
    <mergeCell ref="C157:C176"/>
    <mergeCell ref="C178:C189"/>
    <mergeCell ref="C191:C192"/>
    <mergeCell ref="C194:C195"/>
    <mergeCell ref="C130:C131"/>
    <mergeCell ref="C133:C137"/>
    <mergeCell ref="C139:C143"/>
    <mergeCell ref="C145:C147"/>
    <mergeCell ref="C149:C150"/>
    <mergeCell ref="B216:B217"/>
    <mergeCell ref="B254:B255"/>
    <mergeCell ref="B309:B310"/>
    <mergeCell ref="B312:B313"/>
    <mergeCell ref="B232:B235"/>
    <mergeCell ref="B201:B205"/>
    <mergeCell ref="C109:C112"/>
    <mergeCell ref="C114:C115"/>
    <mergeCell ref="C117:C120"/>
    <mergeCell ref="C122:C125"/>
    <mergeCell ref="C127:C128"/>
    <mergeCell ref="C225:C226"/>
    <mergeCell ref="C228:C229"/>
    <mergeCell ref="C231:C235"/>
    <mergeCell ref="C237:C238"/>
    <mergeCell ref="C240:C243"/>
    <mergeCell ref="C210:C211"/>
    <mergeCell ref="C213:C214"/>
    <mergeCell ref="C216:C217"/>
    <mergeCell ref="C219:C220"/>
    <mergeCell ref="C222:C223"/>
    <mergeCell ref="C260:C262"/>
    <mergeCell ref="C264:C275"/>
    <mergeCell ref="C277:C282"/>
    <mergeCell ref="B1:F1"/>
    <mergeCell ref="B2:F2"/>
    <mergeCell ref="B6:B7"/>
    <mergeCell ref="B22:B26"/>
    <mergeCell ref="B197:B199"/>
    <mergeCell ref="B139:B143"/>
    <mergeCell ref="B117:B120"/>
    <mergeCell ref="B109:B112"/>
    <mergeCell ref="B62:B78"/>
    <mergeCell ref="B36:B44"/>
    <mergeCell ref="B15:B20"/>
    <mergeCell ref="C6:C13"/>
    <mergeCell ref="C15:C20"/>
    <mergeCell ref="C22:C26"/>
    <mergeCell ref="C28:C31"/>
    <mergeCell ref="B28:B31"/>
    <mergeCell ref="C33:C34"/>
    <mergeCell ref="C36:C44"/>
    <mergeCell ref="C46:C60"/>
    <mergeCell ref="B46:B60"/>
    <mergeCell ref="C62:C78"/>
    <mergeCell ref="C82:C88"/>
    <mergeCell ref="B82:B88"/>
    <mergeCell ref="C90:C97"/>
    <mergeCell ref="B355:B356"/>
    <mergeCell ref="B358:B359"/>
    <mergeCell ref="B361:B362"/>
    <mergeCell ref="B334:B335"/>
    <mergeCell ref="B337:B338"/>
    <mergeCell ref="B340:B341"/>
    <mergeCell ref="B346:B347"/>
    <mergeCell ref="B391:B392"/>
    <mergeCell ref="B264:B275"/>
    <mergeCell ref="B277:B282"/>
    <mergeCell ref="B343:B344"/>
    <mergeCell ref="B373:B374"/>
    <mergeCell ref="B376:B377"/>
    <mergeCell ref="B379:B380"/>
    <mergeCell ref="B382:B383"/>
    <mergeCell ref="B367:B368"/>
    <mergeCell ref="B370:B371"/>
    <mergeCell ref="B385:B386"/>
    <mergeCell ref="B388:B389"/>
    <mergeCell ref="B349:B350"/>
    <mergeCell ref="B352:B353"/>
    <mergeCell ref="B320:B321"/>
    <mergeCell ref="B323:B324"/>
    <mergeCell ref="B326:B329"/>
  </mergeCells>
  <phoneticPr fontId="10" type="noConversion"/>
  <printOptions horizontalCentered="1"/>
  <pageMargins left="0.43307086614173229" right="3.937007874015748E-2" top="0.59055118110236227" bottom="0.47244094488188981" header="1.0629921259842521" footer="0.31496062992125984"/>
  <pageSetup paperSize="9" scale="76" fitToHeight="0" orientation="portrait" r:id="rId1"/>
  <headerFooter alignWithMargins="0">
    <oddHeader>&amp;R第&amp;P頁，共&amp;N頁</oddHeader>
    <oddFooter>&amp;L&amp;"標楷體,標準"&amp;11編製                校核</oddFooter>
  </headerFooter>
  <rowBreaks count="9" manualBreakCount="9">
    <brk id="45" min="1" max="5" man="1"/>
    <brk id="79" min="1" max="5" man="1"/>
    <brk id="116" min="1" max="5" man="1"/>
    <brk id="156" min="1" max="5" man="1"/>
    <brk id="196" min="1" max="5" man="1"/>
    <brk id="239" min="1" max="5" man="1"/>
    <brk id="283" min="1" max="5" man="1"/>
    <brk id="325" min="1" max="5" man="1"/>
    <brk id="363" min="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O21"/>
  <sheetViews>
    <sheetView zoomScale="70" zoomScaleNormal="70" zoomScaleSheetLayoutView="40" workbookViewId="0">
      <selection activeCell="D12" sqref="D12:G12"/>
    </sheetView>
  </sheetViews>
  <sheetFormatPr defaultColWidth="10" defaultRowHeight="16.5"/>
  <cols>
    <col min="1" max="2" width="6.125" style="4" customWidth="1"/>
    <col min="3" max="3" width="7.375" style="4" customWidth="1"/>
    <col min="4" max="6" width="6.125" style="4" customWidth="1"/>
    <col min="7" max="7" width="9.875" style="4" customWidth="1"/>
    <col min="8" max="9" width="5.125" style="4" customWidth="1"/>
    <col min="10" max="10" width="7.125" style="4" customWidth="1"/>
    <col min="11" max="14" width="6.125" style="4" customWidth="1"/>
    <col min="15" max="15" width="7.625" style="4" customWidth="1"/>
    <col min="16" max="16" width="6.125" style="4" customWidth="1"/>
    <col min="17" max="17" width="5.5" style="4" customWidth="1"/>
    <col min="18" max="16384" width="10" style="4"/>
  </cols>
  <sheetData>
    <row r="1" spans="1:15" ht="20.100000000000001" customHeight="1">
      <c r="F1" s="5"/>
      <c r="G1" s="6"/>
      <c r="H1" s="7"/>
      <c r="I1" s="5"/>
    </row>
    <row r="2" spans="1:15" ht="20.100000000000001" customHeight="1">
      <c r="F2" s="5"/>
      <c r="G2" s="6"/>
      <c r="H2" s="7"/>
      <c r="I2" s="5"/>
    </row>
    <row r="3" spans="1:15" ht="20.100000000000001" customHeight="1">
      <c r="F3" s="5"/>
      <c r="G3" s="6"/>
      <c r="H3" s="7"/>
      <c r="I3" s="5"/>
    </row>
    <row r="4" spans="1:15" ht="20.100000000000001" customHeight="1" thickBot="1">
      <c r="B4" s="8"/>
      <c r="F4" s="5"/>
      <c r="G4" s="6"/>
      <c r="H4" s="7"/>
      <c r="I4" s="5"/>
    </row>
    <row r="5" spans="1:15" ht="80.099999999999994" customHeight="1" thickTop="1">
      <c r="C5" s="440" t="s">
        <v>10</v>
      </c>
      <c r="D5" s="441"/>
      <c r="E5" s="441"/>
      <c r="F5" s="441"/>
      <c r="G5" s="441"/>
      <c r="H5" s="441"/>
      <c r="I5" s="441"/>
      <c r="J5" s="441"/>
      <c r="K5" s="441"/>
      <c r="L5" s="441"/>
      <c r="M5" s="442"/>
    </row>
    <row r="6" spans="1:15" ht="80.099999999999994" customHeight="1" thickBot="1">
      <c r="C6" s="443" t="s">
        <v>153</v>
      </c>
      <c r="D6" s="444"/>
      <c r="E6" s="444"/>
      <c r="F6" s="444"/>
      <c r="G6" s="444"/>
      <c r="H6" s="444"/>
      <c r="I6" s="444"/>
      <c r="J6" s="444"/>
      <c r="K6" s="444"/>
      <c r="L6" s="444"/>
      <c r="M6" s="445"/>
    </row>
    <row r="7" spans="1:15" ht="20.100000000000001" customHeight="1" thickTop="1">
      <c r="F7" s="5"/>
      <c r="G7" s="7"/>
      <c r="H7" s="7"/>
      <c r="I7" s="5"/>
    </row>
    <row r="8" spans="1:15" ht="20.100000000000001" customHeight="1">
      <c r="A8" s="9"/>
      <c r="B8" s="9"/>
      <c r="C8" s="9"/>
      <c r="D8" s="9"/>
      <c r="E8" s="9"/>
      <c r="F8" s="7"/>
      <c r="G8" s="7"/>
      <c r="H8" s="7"/>
      <c r="I8" s="5"/>
      <c r="J8" s="9"/>
      <c r="K8" s="9"/>
      <c r="L8" s="9"/>
      <c r="M8" s="9"/>
      <c r="N8" s="9"/>
    </row>
    <row r="9" spans="1:15" ht="20.100000000000001" customHeight="1" thickBot="1"/>
    <row r="10" spans="1:15" ht="45" customHeight="1">
      <c r="A10" s="446" t="s">
        <v>1</v>
      </c>
      <c r="B10" s="447"/>
      <c r="C10" s="447"/>
      <c r="D10" s="448" t="s">
        <v>1094</v>
      </c>
      <c r="E10" s="449"/>
      <c r="F10" s="449"/>
      <c r="G10" s="449"/>
      <c r="H10" s="449"/>
      <c r="I10" s="449"/>
      <c r="J10" s="449"/>
      <c r="K10" s="449"/>
      <c r="L10" s="449"/>
      <c r="M10" s="449"/>
      <c r="N10" s="449"/>
      <c r="O10" s="450"/>
    </row>
    <row r="11" spans="1:15" ht="45" customHeight="1">
      <c r="A11" s="462" t="s">
        <v>2</v>
      </c>
      <c r="B11" s="463"/>
      <c r="C11" s="463"/>
      <c r="D11" s="464" t="s">
        <v>1320</v>
      </c>
      <c r="E11" s="465"/>
      <c r="F11" s="465"/>
      <c r="G11" s="466"/>
      <c r="H11" s="467" t="s">
        <v>3</v>
      </c>
      <c r="I11" s="468"/>
      <c r="J11" s="469"/>
      <c r="K11" s="470" t="s">
        <v>157</v>
      </c>
      <c r="L11" s="471"/>
      <c r="M11" s="471"/>
      <c r="N11" s="471"/>
      <c r="O11" s="472"/>
    </row>
    <row r="12" spans="1:15" ht="51.75" customHeight="1" thickBot="1">
      <c r="A12" s="451" t="s">
        <v>4</v>
      </c>
      <c r="B12" s="452"/>
      <c r="C12" s="452"/>
      <c r="D12" s="453" t="s">
        <v>329</v>
      </c>
      <c r="E12" s="454"/>
      <c r="F12" s="454"/>
      <c r="G12" s="455"/>
      <c r="H12" s="456" t="s">
        <v>5</v>
      </c>
      <c r="I12" s="457"/>
      <c r="J12" s="458"/>
      <c r="K12" s="459" t="s">
        <v>1006</v>
      </c>
      <c r="L12" s="460"/>
      <c r="M12" s="460"/>
      <c r="N12" s="460"/>
      <c r="O12" s="461"/>
    </row>
    <row r="13" spans="1:15" ht="60" customHeight="1" thickBot="1"/>
    <row r="14" spans="1:15" ht="39.950000000000003" customHeight="1">
      <c r="C14" s="473" t="s">
        <v>10</v>
      </c>
      <c r="D14" s="474"/>
      <c r="E14" s="474"/>
      <c r="F14" s="474"/>
      <c r="G14" s="474"/>
      <c r="H14" s="474"/>
      <c r="I14" s="474"/>
      <c r="J14" s="474"/>
      <c r="K14" s="474"/>
      <c r="L14" s="474"/>
      <c r="M14" s="475"/>
      <c r="N14" s="9"/>
    </row>
    <row r="15" spans="1:15" ht="39.950000000000003" customHeight="1">
      <c r="C15" s="479" t="s">
        <v>6</v>
      </c>
      <c r="D15" s="480" t="s">
        <v>20</v>
      </c>
      <c r="E15" s="480"/>
      <c r="F15" s="480"/>
      <c r="G15" s="10"/>
      <c r="H15" s="11"/>
      <c r="I15" s="12"/>
      <c r="J15" s="11"/>
      <c r="K15" s="11"/>
      <c r="L15" s="13"/>
      <c r="M15" s="14"/>
      <c r="N15" s="9"/>
    </row>
    <row r="16" spans="1:15" ht="39.950000000000003" customHeight="1">
      <c r="B16" s="4" t="s">
        <v>7</v>
      </c>
      <c r="C16" s="479"/>
      <c r="D16" s="480" t="s">
        <v>17</v>
      </c>
      <c r="E16" s="480"/>
      <c r="F16" s="480"/>
      <c r="G16" s="10"/>
      <c r="H16" s="11"/>
      <c r="I16" s="12"/>
      <c r="J16" s="11"/>
      <c r="K16" s="11"/>
      <c r="L16" s="13"/>
      <c r="M16" s="14"/>
      <c r="N16" s="9"/>
    </row>
    <row r="17" spans="1:14" s="9" customFormat="1" ht="39.950000000000003" customHeight="1">
      <c r="C17" s="479" t="s">
        <v>18</v>
      </c>
      <c r="D17" s="480" t="s">
        <v>19</v>
      </c>
      <c r="E17" s="480"/>
      <c r="F17" s="480"/>
      <c r="G17" s="15"/>
      <c r="H17" s="11"/>
      <c r="I17" s="11"/>
      <c r="J17" s="11"/>
      <c r="K17" s="11"/>
      <c r="L17" s="13"/>
      <c r="M17" s="14"/>
    </row>
    <row r="18" spans="1:14" s="9" customFormat="1" ht="39.950000000000003" customHeight="1">
      <c r="C18" s="479"/>
      <c r="D18" s="480" t="s">
        <v>21</v>
      </c>
      <c r="E18" s="480"/>
      <c r="F18" s="480"/>
      <c r="G18" s="15"/>
      <c r="H18" s="11"/>
      <c r="I18" s="11"/>
      <c r="J18" s="11"/>
      <c r="K18" s="11"/>
      <c r="L18" s="13"/>
      <c r="M18" s="14"/>
    </row>
    <row r="19" spans="1:14" s="9" customFormat="1" ht="39.950000000000003" customHeight="1">
      <c r="C19" s="481" t="s">
        <v>8</v>
      </c>
      <c r="D19" s="480"/>
      <c r="E19" s="480"/>
      <c r="F19" s="480"/>
      <c r="G19" s="15"/>
      <c r="H19" s="11"/>
      <c r="I19" s="11"/>
      <c r="J19" s="11"/>
      <c r="K19" s="11"/>
      <c r="L19" s="13"/>
      <c r="M19" s="14"/>
    </row>
    <row r="20" spans="1:14" s="9" customFormat="1" ht="39.950000000000003" customHeight="1" thickBot="1">
      <c r="A20" s="16"/>
      <c r="B20" s="16"/>
      <c r="C20" s="476" t="s">
        <v>9</v>
      </c>
      <c r="D20" s="477"/>
      <c r="E20" s="477"/>
      <c r="F20" s="478"/>
      <c r="G20" s="17"/>
      <c r="H20" s="18"/>
      <c r="I20" s="18"/>
      <c r="J20" s="18"/>
      <c r="K20" s="18"/>
      <c r="L20" s="18"/>
      <c r="M20" s="19"/>
      <c r="N20" s="20"/>
    </row>
    <row r="21" spans="1:14" ht="24.95" customHeight="1">
      <c r="A21" s="21"/>
      <c r="B21" s="21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</sheetData>
  <mergeCells count="21">
    <mergeCell ref="C14:M14"/>
    <mergeCell ref="C20:F20"/>
    <mergeCell ref="C17:C18"/>
    <mergeCell ref="D17:F17"/>
    <mergeCell ref="D18:F18"/>
    <mergeCell ref="C19:F19"/>
    <mergeCell ref="C15:C16"/>
    <mergeCell ref="D15:F15"/>
    <mergeCell ref="D16:F16"/>
    <mergeCell ref="C5:M5"/>
    <mergeCell ref="C6:M6"/>
    <mergeCell ref="A10:C10"/>
    <mergeCell ref="D10:O10"/>
    <mergeCell ref="A12:C12"/>
    <mergeCell ref="D12:G12"/>
    <mergeCell ref="H12:J12"/>
    <mergeCell ref="K12:O12"/>
    <mergeCell ref="A11:C11"/>
    <mergeCell ref="D11:G11"/>
    <mergeCell ref="H11:J11"/>
    <mergeCell ref="K11:O11"/>
  </mergeCells>
  <phoneticPr fontId="13" type="noConversion"/>
  <pageMargins left="1.1499999999999999" right="0.35" top="1" bottom="1" header="0.5" footer="0.5"/>
  <pageSetup paperSize="9" scale="83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H24"/>
  <sheetViews>
    <sheetView zoomScaleNormal="100" zoomScaleSheetLayoutView="55" workbookViewId="0">
      <selection activeCell="G22" sqref="G22"/>
    </sheetView>
  </sheetViews>
  <sheetFormatPr defaultRowHeight="16.5"/>
  <cols>
    <col min="1" max="8" width="10.625" style="178" customWidth="1"/>
    <col min="9" max="256" width="9" style="178"/>
    <col min="257" max="264" width="10.625" style="178" customWidth="1"/>
    <col min="265" max="512" width="9" style="178"/>
    <col min="513" max="520" width="10.625" style="178" customWidth="1"/>
    <col min="521" max="768" width="9" style="178"/>
    <col min="769" max="776" width="10.625" style="178" customWidth="1"/>
    <col min="777" max="1024" width="9" style="178"/>
    <col min="1025" max="1032" width="10.625" style="178" customWidth="1"/>
    <col min="1033" max="1280" width="9" style="178"/>
    <col min="1281" max="1288" width="10.625" style="178" customWidth="1"/>
    <col min="1289" max="1536" width="9" style="178"/>
    <col min="1537" max="1544" width="10.625" style="178" customWidth="1"/>
    <col min="1545" max="1792" width="9" style="178"/>
    <col min="1793" max="1800" width="10.625" style="178" customWidth="1"/>
    <col min="1801" max="2048" width="9" style="178"/>
    <col min="2049" max="2056" width="10.625" style="178" customWidth="1"/>
    <col min="2057" max="2304" width="9" style="178"/>
    <col min="2305" max="2312" width="10.625" style="178" customWidth="1"/>
    <col min="2313" max="2560" width="9" style="178"/>
    <col min="2561" max="2568" width="10.625" style="178" customWidth="1"/>
    <col min="2569" max="2816" width="9" style="178"/>
    <col min="2817" max="2824" width="10.625" style="178" customWidth="1"/>
    <col min="2825" max="3072" width="9" style="178"/>
    <col min="3073" max="3080" width="10.625" style="178" customWidth="1"/>
    <col min="3081" max="3328" width="9" style="178"/>
    <col min="3329" max="3336" width="10.625" style="178" customWidth="1"/>
    <col min="3337" max="3584" width="9" style="178"/>
    <col min="3585" max="3592" width="10.625" style="178" customWidth="1"/>
    <col min="3593" max="3840" width="9" style="178"/>
    <col min="3841" max="3848" width="10.625" style="178" customWidth="1"/>
    <col min="3849" max="4096" width="9" style="178"/>
    <col min="4097" max="4104" width="10.625" style="178" customWidth="1"/>
    <col min="4105" max="4352" width="9" style="178"/>
    <col min="4353" max="4360" width="10.625" style="178" customWidth="1"/>
    <col min="4361" max="4608" width="9" style="178"/>
    <col min="4609" max="4616" width="10.625" style="178" customWidth="1"/>
    <col min="4617" max="4864" width="9" style="178"/>
    <col min="4865" max="4872" width="10.625" style="178" customWidth="1"/>
    <col min="4873" max="5120" width="9" style="178"/>
    <col min="5121" max="5128" width="10.625" style="178" customWidth="1"/>
    <col min="5129" max="5376" width="9" style="178"/>
    <col min="5377" max="5384" width="10.625" style="178" customWidth="1"/>
    <col min="5385" max="5632" width="9" style="178"/>
    <col min="5633" max="5640" width="10.625" style="178" customWidth="1"/>
    <col min="5641" max="5888" width="9" style="178"/>
    <col min="5889" max="5896" width="10.625" style="178" customWidth="1"/>
    <col min="5897" max="6144" width="9" style="178"/>
    <col min="6145" max="6152" width="10.625" style="178" customWidth="1"/>
    <col min="6153" max="6400" width="9" style="178"/>
    <col min="6401" max="6408" width="10.625" style="178" customWidth="1"/>
    <col min="6409" max="6656" width="9" style="178"/>
    <col min="6657" max="6664" width="10.625" style="178" customWidth="1"/>
    <col min="6665" max="6912" width="9" style="178"/>
    <col min="6913" max="6920" width="10.625" style="178" customWidth="1"/>
    <col min="6921" max="7168" width="9" style="178"/>
    <col min="7169" max="7176" width="10.625" style="178" customWidth="1"/>
    <col min="7177" max="7424" width="9" style="178"/>
    <col min="7425" max="7432" width="10.625" style="178" customWidth="1"/>
    <col min="7433" max="7680" width="9" style="178"/>
    <col min="7681" max="7688" width="10.625" style="178" customWidth="1"/>
    <col min="7689" max="7936" width="9" style="178"/>
    <col min="7937" max="7944" width="10.625" style="178" customWidth="1"/>
    <col min="7945" max="8192" width="9" style="178"/>
    <col min="8193" max="8200" width="10.625" style="178" customWidth="1"/>
    <col min="8201" max="8448" width="9" style="178"/>
    <col min="8449" max="8456" width="10.625" style="178" customWidth="1"/>
    <col min="8457" max="8704" width="9" style="178"/>
    <col min="8705" max="8712" width="10.625" style="178" customWidth="1"/>
    <col min="8713" max="8960" width="9" style="178"/>
    <col min="8961" max="8968" width="10.625" style="178" customWidth="1"/>
    <col min="8969" max="9216" width="9" style="178"/>
    <col min="9217" max="9224" width="10.625" style="178" customWidth="1"/>
    <col min="9225" max="9472" width="9" style="178"/>
    <col min="9473" max="9480" width="10.625" style="178" customWidth="1"/>
    <col min="9481" max="9728" width="9" style="178"/>
    <col min="9729" max="9736" width="10.625" style="178" customWidth="1"/>
    <col min="9737" max="9984" width="9" style="178"/>
    <col min="9985" max="9992" width="10.625" style="178" customWidth="1"/>
    <col min="9993" max="10240" width="9" style="178"/>
    <col min="10241" max="10248" width="10.625" style="178" customWidth="1"/>
    <col min="10249" max="10496" width="9" style="178"/>
    <col min="10497" max="10504" width="10.625" style="178" customWidth="1"/>
    <col min="10505" max="10752" width="9" style="178"/>
    <col min="10753" max="10760" width="10.625" style="178" customWidth="1"/>
    <col min="10761" max="11008" width="9" style="178"/>
    <col min="11009" max="11016" width="10.625" style="178" customWidth="1"/>
    <col min="11017" max="11264" width="9" style="178"/>
    <col min="11265" max="11272" width="10.625" style="178" customWidth="1"/>
    <col min="11273" max="11520" width="9" style="178"/>
    <col min="11521" max="11528" width="10.625" style="178" customWidth="1"/>
    <col min="11529" max="11776" width="9" style="178"/>
    <col min="11777" max="11784" width="10.625" style="178" customWidth="1"/>
    <col min="11785" max="12032" width="9" style="178"/>
    <col min="12033" max="12040" width="10.625" style="178" customWidth="1"/>
    <col min="12041" max="12288" width="9" style="178"/>
    <col min="12289" max="12296" width="10.625" style="178" customWidth="1"/>
    <col min="12297" max="12544" width="9" style="178"/>
    <col min="12545" max="12552" width="10.625" style="178" customWidth="1"/>
    <col min="12553" max="12800" width="9" style="178"/>
    <col min="12801" max="12808" width="10.625" style="178" customWidth="1"/>
    <col min="12809" max="13056" width="9" style="178"/>
    <col min="13057" max="13064" width="10.625" style="178" customWidth="1"/>
    <col min="13065" max="13312" width="9" style="178"/>
    <col min="13313" max="13320" width="10.625" style="178" customWidth="1"/>
    <col min="13321" max="13568" width="9" style="178"/>
    <col min="13569" max="13576" width="10.625" style="178" customWidth="1"/>
    <col min="13577" max="13824" width="9" style="178"/>
    <col min="13825" max="13832" width="10.625" style="178" customWidth="1"/>
    <col min="13833" max="14080" width="9" style="178"/>
    <col min="14081" max="14088" width="10.625" style="178" customWidth="1"/>
    <col min="14089" max="14336" width="9" style="178"/>
    <col min="14337" max="14344" width="10.625" style="178" customWidth="1"/>
    <col min="14345" max="14592" width="9" style="178"/>
    <col min="14593" max="14600" width="10.625" style="178" customWidth="1"/>
    <col min="14601" max="14848" width="9" style="178"/>
    <col min="14849" max="14856" width="10.625" style="178" customWidth="1"/>
    <col min="14857" max="15104" width="9" style="178"/>
    <col min="15105" max="15112" width="10.625" style="178" customWidth="1"/>
    <col min="15113" max="15360" width="9" style="178"/>
    <col min="15361" max="15368" width="10.625" style="178" customWidth="1"/>
    <col min="15369" max="15616" width="9" style="178"/>
    <col min="15617" max="15624" width="10.625" style="178" customWidth="1"/>
    <col min="15625" max="15872" width="9" style="178"/>
    <col min="15873" max="15880" width="10.625" style="178" customWidth="1"/>
    <col min="15881" max="16128" width="9" style="178"/>
    <col min="16129" max="16136" width="10.625" style="178" customWidth="1"/>
    <col min="16137" max="16384" width="9" style="178"/>
  </cols>
  <sheetData>
    <row r="1" spans="1:8" ht="21">
      <c r="A1" s="490" t="s">
        <v>198</v>
      </c>
      <c r="B1" s="490"/>
      <c r="C1" s="490"/>
      <c r="D1" s="490"/>
      <c r="E1" s="490"/>
      <c r="F1" s="490"/>
      <c r="G1" s="490"/>
      <c r="H1" s="490"/>
    </row>
    <row r="2" spans="1:8" ht="21">
      <c r="A2" s="491" t="s">
        <v>199</v>
      </c>
      <c r="B2" s="491"/>
      <c r="C2" s="491"/>
      <c r="D2" s="491"/>
      <c r="E2" s="491"/>
      <c r="F2" s="491"/>
      <c r="G2" s="491"/>
      <c r="H2" s="491"/>
    </row>
    <row r="3" spans="1:8" ht="21.6" customHeight="1">
      <c r="A3" s="179" t="s">
        <v>200</v>
      </c>
      <c r="B3" s="180" t="s">
        <v>156</v>
      </c>
      <c r="C3" s="181"/>
      <c r="D3" s="181"/>
      <c r="E3" s="181"/>
      <c r="F3" s="182"/>
      <c r="G3" s="183"/>
      <c r="H3" s="183"/>
    </row>
    <row r="4" spans="1:8" ht="21.6" customHeight="1">
      <c r="A4" s="184" t="s">
        <v>201</v>
      </c>
      <c r="B4" s="180" t="s">
        <v>157</v>
      </c>
      <c r="C4" s="181"/>
      <c r="D4" s="181"/>
      <c r="E4" s="181"/>
      <c r="F4" s="182"/>
      <c r="G4" s="492"/>
      <c r="H4" s="492"/>
    </row>
    <row r="5" spans="1:8" ht="21" customHeight="1">
      <c r="A5" s="493" t="s">
        <v>202</v>
      </c>
      <c r="B5" s="494"/>
      <c r="C5" s="494"/>
      <c r="D5" s="494"/>
      <c r="E5" s="494"/>
      <c r="F5" s="494"/>
      <c r="G5" s="494"/>
      <c r="H5" s="495"/>
    </row>
    <row r="6" spans="1:8" ht="21" customHeight="1">
      <c r="A6" s="185" t="s">
        <v>203</v>
      </c>
      <c r="B6" s="186"/>
      <c r="C6" s="187"/>
      <c r="D6" s="188"/>
      <c r="E6" s="188"/>
      <c r="F6" s="188"/>
      <c r="G6" s="189"/>
      <c r="H6" s="190"/>
    </row>
    <row r="7" spans="1:8" ht="21" customHeight="1">
      <c r="A7" s="191" t="s">
        <v>204</v>
      </c>
      <c r="B7" s="192" t="s">
        <v>205</v>
      </c>
      <c r="C7" s="191" t="s">
        <v>206</v>
      </c>
      <c r="D7" s="193" t="s">
        <v>207</v>
      </c>
      <c r="E7" s="193" t="s">
        <v>208</v>
      </c>
      <c r="F7" s="193" t="s">
        <v>209</v>
      </c>
      <c r="G7" s="191" t="s">
        <v>210</v>
      </c>
      <c r="H7" s="191" t="s">
        <v>211</v>
      </c>
    </row>
    <row r="8" spans="1:8" ht="21" customHeight="1">
      <c r="A8" s="194" t="s">
        <v>212</v>
      </c>
      <c r="B8" s="194" t="s">
        <v>337</v>
      </c>
      <c r="C8" s="194" t="s">
        <v>338</v>
      </c>
      <c r="D8" s="193" t="s">
        <v>213</v>
      </c>
      <c r="E8" s="195" t="s">
        <v>214</v>
      </c>
      <c r="F8" s="195" t="s">
        <v>215</v>
      </c>
      <c r="G8" s="195" t="s">
        <v>216</v>
      </c>
      <c r="H8" s="196" t="s">
        <v>217</v>
      </c>
    </row>
    <row r="9" spans="1:8" ht="21" customHeight="1">
      <c r="A9" s="197"/>
      <c r="B9" s="194"/>
      <c r="C9" s="194"/>
      <c r="D9" s="188"/>
      <c r="E9" s="188"/>
      <c r="F9" s="188"/>
      <c r="G9" s="189"/>
      <c r="H9" s="190"/>
    </row>
    <row r="10" spans="1:8" ht="21" customHeight="1">
      <c r="A10" s="199" t="s">
        <v>218</v>
      </c>
      <c r="B10" s="200"/>
      <c r="C10" s="201"/>
      <c r="D10" s="202"/>
      <c r="E10" s="202"/>
      <c r="F10" s="202"/>
      <c r="G10" s="203"/>
      <c r="H10" s="204"/>
    </row>
    <row r="11" spans="1:8" ht="24.95" customHeight="1">
      <c r="A11" s="487" t="s">
        <v>219</v>
      </c>
      <c r="B11" s="488"/>
      <c r="C11" s="488"/>
      <c r="D11" s="488"/>
      <c r="E11" s="488"/>
      <c r="F11" s="488"/>
      <c r="G11" s="489"/>
      <c r="H11" s="205" t="s">
        <v>220</v>
      </c>
    </row>
    <row r="12" spans="1:8" ht="24.95" customHeight="1">
      <c r="A12" s="487" t="s">
        <v>221</v>
      </c>
      <c r="B12" s="488"/>
      <c r="C12" s="488"/>
      <c r="D12" s="488"/>
      <c r="E12" s="488"/>
      <c r="F12" s="488"/>
      <c r="G12" s="489"/>
      <c r="H12" s="206" t="s">
        <v>222</v>
      </c>
    </row>
    <row r="13" spans="1:8" ht="24.95" customHeight="1">
      <c r="A13" s="487" t="s">
        <v>223</v>
      </c>
      <c r="B13" s="488"/>
      <c r="C13" s="488"/>
      <c r="D13" s="488"/>
      <c r="E13" s="488"/>
      <c r="F13" s="488"/>
      <c r="G13" s="489"/>
      <c r="H13" s="206" t="s">
        <v>224</v>
      </c>
    </row>
    <row r="14" spans="1:8" ht="24.95" customHeight="1">
      <c r="A14" s="487" t="s">
        <v>225</v>
      </c>
      <c r="B14" s="488"/>
      <c r="C14" s="488"/>
      <c r="D14" s="488"/>
      <c r="E14" s="488"/>
      <c r="F14" s="488"/>
      <c r="G14" s="489"/>
      <c r="H14" s="206" t="s">
        <v>226</v>
      </c>
    </row>
    <row r="15" spans="1:8" ht="24.95" customHeight="1">
      <c r="A15" s="487" t="s">
        <v>227</v>
      </c>
      <c r="B15" s="488"/>
      <c r="C15" s="488"/>
      <c r="D15" s="488"/>
      <c r="E15" s="488"/>
      <c r="F15" s="488"/>
      <c r="G15" s="489"/>
      <c r="H15" s="206" t="s">
        <v>228</v>
      </c>
    </row>
    <row r="16" spans="1:8" ht="24.95" customHeight="1">
      <c r="A16" s="482"/>
      <c r="B16" s="483"/>
      <c r="C16" s="483"/>
      <c r="D16" s="483"/>
      <c r="E16" s="483"/>
      <c r="F16" s="483"/>
      <c r="G16" s="483"/>
      <c r="H16" s="484"/>
    </row>
    <row r="17" spans="1:8" ht="24.95" customHeight="1">
      <c r="A17" s="482" t="s">
        <v>229</v>
      </c>
      <c r="B17" s="483"/>
      <c r="C17" s="483"/>
      <c r="D17" s="483"/>
      <c r="E17" s="483"/>
      <c r="F17" s="483"/>
      <c r="G17" s="483"/>
      <c r="H17" s="484"/>
    </row>
    <row r="18" spans="1:8" ht="24.95" customHeight="1">
      <c r="A18" s="199" t="s">
        <v>230</v>
      </c>
      <c r="B18" s="207"/>
      <c r="C18" s="207"/>
      <c r="D18" s="207"/>
      <c r="E18" s="207"/>
      <c r="F18" s="207"/>
      <c r="G18" s="207"/>
      <c r="H18" s="208"/>
    </row>
    <row r="19" spans="1:8" ht="24.95" customHeight="1">
      <c r="A19" s="485" t="s">
        <v>231</v>
      </c>
      <c r="B19" s="486"/>
      <c r="C19" s="486"/>
      <c r="D19" s="486"/>
      <c r="E19" s="207"/>
      <c r="F19" s="207"/>
      <c r="G19" s="207"/>
      <c r="H19" s="208"/>
    </row>
    <row r="20" spans="1:8" ht="24.95" customHeight="1">
      <c r="A20" s="209"/>
      <c r="B20" s="198"/>
      <c r="C20" s="201"/>
      <c r="D20" s="202"/>
      <c r="E20" s="202"/>
      <c r="F20" s="202"/>
      <c r="G20" s="203"/>
      <c r="H20" s="204"/>
    </row>
    <row r="21" spans="1:8" ht="24.95" customHeight="1">
      <c r="A21" s="209"/>
      <c r="B21" s="198"/>
      <c r="C21" s="201"/>
      <c r="D21" s="202"/>
      <c r="E21" s="202"/>
      <c r="F21" s="202"/>
      <c r="G21" s="203"/>
      <c r="H21" s="204"/>
    </row>
    <row r="22" spans="1:8" ht="24.95" customHeight="1">
      <c r="A22" s="210"/>
      <c r="B22" s="198"/>
      <c r="C22" s="201"/>
      <c r="D22" s="202"/>
      <c r="E22" s="202"/>
      <c r="F22" s="202"/>
      <c r="G22" s="203"/>
      <c r="H22" s="204"/>
    </row>
    <row r="24" spans="1:8">
      <c r="A24" s="211"/>
      <c r="B24" s="211"/>
      <c r="C24" s="211"/>
      <c r="D24" s="211"/>
      <c r="E24" s="211"/>
      <c r="F24" s="211"/>
      <c r="G24" s="211"/>
    </row>
  </sheetData>
  <mergeCells count="12">
    <mergeCell ref="A1:H1"/>
    <mergeCell ref="A2:H2"/>
    <mergeCell ref="G4:H4"/>
    <mergeCell ref="A5:H5"/>
    <mergeCell ref="A11:G11"/>
    <mergeCell ref="A17:H17"/>
    <mergeCell ref="A19:D19"/>
    <mergeCell ref="A12:G12"/>
    <mergeCell ref="A13:G13"/>
    <mergeCell ref="A14:G14"/>
    <mergeCell ref="A15:G15"/>
    <mergeCell ref="A16:H16"/>
  </mergeCells>
  <phoneticPr fontId="76" type="noConversion"/>
  <printOptions horizontalCentered="1"/>
  <pageMargins left="0.74803149606299213" right="0.35433070866141736" top="0.59055118110236227" bottom="0.78740157480314965" header="1.6141732283464567" footer="0.51181102362204722"/>
  <pageSetup paperSize="9" scale="95" orientation="portrait" r:id="rId1"/>
  <headerFooter alignWithMargins="0">
    <oddHeader>&amp;R&amp;14共 &amp;N 頁 第 &amp;P 頁</oddHeader>
    <oddFooter>&amp;L編製:&amp;C校核: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view="pageBreakPreview" zoomScale="85" zoomScaleNormal="100" zoomScaleSheetLayoutView="85" workbookViewId="0">
      <selection activeCell="D14" sqref="D14:F14"/>
    </sheetView>
  </sheetViews>
  <sheetFormatPr defaultRowHeight="16.5"/>
  <cols>
    <col min="2" max="2" width="15.125" customWidth="1"/>
    <col min="6" max="6" width="9" customWidth="1"/>
    <col min="7" max="7" width="13.875" customWidth="1"/>
    <col min="11" max="11" width="10.5" bestFit="1" customWidth="1"/>
    <col min="258" max="258" width="15.125" customWidth="1"/>
    <col min="262" max="262" width="9" customWidth="1"/>
    <col min="263" max="263" width="13.875" customWidth="1"/>
    <col min="267" max="267" width="10.5" bestFit="1" customWidth="1"/>
    <col min="514" max="514" width="15.125" customWidth="1"/>
    <col min="518" max="518" width="9" customWidth="1"/>
    <col min="519" max="519" width="13.875" customWidth="1"/>
    <col min="523" max="523" width="10.5" bestFit="1" customWidth="1"/>
    <col min="770" max="770" width="15.125" customWidth="1"/>
    <col min="774" max="774" width="9" customWidth="1"/>
    <col min="775" max="775" width="13.875" customWidth="1"/>
    <col min="779" max="779" width="10.5" bestFit="1" customWidth="1"/>
    <col min="1026" max="1026" width="15.125" customWidth="1"/>
    <col min="1030" max="1030" width="9" customWidth="1"/>
    <col min="1031" max="1031" width="13.875" customWidth="1"/>
    <col min="1035" max="1035" width="10.5" bestFit="1" customWidth="1"/>
    <col min="1282" max="1282" width="15.125" customWidth="1"/>
    <col min="1286" max="1286" width="9" customWidth="1"/>
    <col min="1287" max="1287" width="13.875" customWidth="1"/>
    <col min="1291" max="1291" width="10.5" bestFit="1" customWidth="1"/>
    <col min="1538" max="1538" width="15.125" customWidth="1"/>
    <col min="1542" max="1542" width="9" customWidth="1"/>
    <col min="1543" max="1543" width="13.875" customWidth="1"/>
    <col min="1547" max="1547" width="10.5" bestFit="1" customWidth="1"/>
    <col min="1794" max="1794" width="15.125" customWidth="1"/>
    <col min="1798" max="1798" width="9" customWidth="1"/>
    <col min="1799" max="1799" width="13.875" customWidth="1"/>
    <col min="1803" max="1803" width="10.5" bestFit="1" customWidth="1"/>
    <col min="2050" max="2050" width="15.125" customWidth="1"/>
    <col min="2054" max="2054" width="9" customWidth="1"/>
    <col min="2055" max="2055" width="13.875" customWidth="1"/>
    <col min="2059" max="2059" width="10.5" bestFit="1" customWidth="1"/>
    <col min="2306" max="2306" width="15.125" customWidth="1"/>
    <col min="2310" max="2310" width="9" customWidth="1"/>
    <col min="2311" max="2311" width="13.875" customWidth="1"/>
    <col min="2315" max="2315" width="10.5" bestFit="1" customWidth="1"/>
    <col min="2562" max="2562" width="15.125" customWidth="1"/>
    <col min="2566" max="2566" width="9" customWidth="1"/>
    <col min="2567" max="2567" width="13.875" customWidth="1"/>
    <col min="2571" max="2571" width="10.5" bestFit="1" customWidth="1"/>
    <col min="2818" max="2818" width="15.125" customWidth="1"/>
    <col min="2822" max="2822" width="9" customWidth="1"/>
    <col min="2823" max="2823" width="13.875" customWidth="1"/>
    <col min="2827" max="2827" width="10.5" bestFit="1" customWidth="1"/>
    <col min="3074" max="3074" width="15.125" customWidth="1"/>
    <col min="3078" max="3078" width="9" customWidth="1"/>
    <col min="3079" max="3079" width="13.875" customWidth="1"/>
    <col min="3083" max="3083" width="10.5" bestFit="1" customWidth="1"/>
    <col min="3330" max="3330" width="15.125" customWidth="1"/>
    <col min="3334" max="3334" width="9" customWidth="1"/>
    <col min="3335" max="3335" width="13.875" customWidth="1"/>
    <col min="3339" max="3339" width="10.5" bestFit="1" customWidth="1"/>
    <col min="3586" max="3586" width="15.125" customWidth="1"/>
    <col min="3590" max="3590" width="9" customWidth="1"/>
    <col min="3591" max="3591" width="13.875" customWidth="1"/>
    <col min="3595" max="3595" width="10.5" bestFit="1" customWidth="1"/>
    <col min="3842" max="3842" width="15.125" customWidth="1"/>
    <col min="3846" max="3846" width="9" customWidth="1"/>
    <col min="3847" max="3847" width="13.875" customWidth="1"/>
    <col min="3851" max="3851" width="10.5" bestFit="1" customWidth="1"/>
    <col min="4098" max="4098" width="15.125" customWidth="1"/>
    <col min="4102" max="4102" width="9" customWidth="1"/>
    <col min="4103" max="4103" width="13.875" customWidth="1"/>
    <col min="4107" max="4107" width="10.5" bestFit="1" customWidth="1"/>
    <col min="4354" max="4354" width="15.125" customWidth="1"/>
    <col min="4358" max="4358" width="9" customWidth="1"/>
    <col min="4359" max="4359" width="13.875" customWidth="1"/>
    <col min="4363" max="4363" width="10.5" bestFit="1" customWidth="1"/>
    <col min="4610" max="4610" width="15.125" customWidth="1"/>
    <col min="4614" max="4614" width="9" customWidth="1"/>
    <col min="4615" max="4615" width="13.875" customWidth="1"/>
    <col min="4619" max="4619" width="10.5" bestFit="1" customWidth="1"/>
    <col min="4866" max="4866" width="15.125" customWidth="1"/>
    <col min="4870" max="4870" width="9" customWidth="1"/>
    <col min="4871" max="4871" width="13.875" customWidth="1"/>
    <col min="4875" max="4875" width="10.5" bestFit="1" customWidth="1"/>
    <col min="5122" max="5122" width="15.125" customWidth="1"/>
    <col min="5126" max="5126" width="9" customWidth="1"/>
    <col min="5127" max="5127" width="13.875" customWidth="1"/>
    <col min="5131" max="5131" width="10.5" bestFit="1" customWidth="1"/>
    <col min="5378" max="5378" width="15.125" customWidth="1"/>
    <col min="5382" max="5382" width="9" customWidth="1"/>
    <col min="5383" max="5383" width="13.875" customWidth="1"/>
    <col min="5387" max="5387" width="10.5" bestFit="1" customWidth="1"/>
    <col min="5634" max="5634" width="15.125" customWidth="1"/>
    <col min="5638" max="5638" width="9" customWidth="1"/>
    <col min="5639" max="5639" width="13.875" customWidth="1"/>
    <col min="5643" max="5643" width="10.5" bestFit="1" customWidth="1"/>
    <col min="5890" max="5890" width="15.125" customWidth="1"/>
    <col min="5894" max="5894" width="9" customWidth="1"/>
    <col min="5895" max="5895" width="13.875" customWidth="1"/>
    <col min="5899" max="5899" width="10.5" bestFit="1" customWidth="1"/>
    <col min="6146" max="6146" width="15.125" customWidth="1"/>
    <col min="6150" max="6150" width="9" customWidth="1"/>
    <col min="6151" max="6151" width="13.875" customWidth="1"/>
    <col min="6155" max="6155" width="10.5" bestFit="1" customWidth="1"/>
    <col min="6402" max="6402" width="15.125" customWidth="1"/>
    <col min="6406" max="6406" width="9" customWidth="1"/>
    <col min="6407" max="6407" width="13.875" customWidth="1"/>
    <col min="6411" max="6411" width="10.5" bestFit="1" customWidth="1"/>
    <col min="6658" max="6658" width="15.125" customWidth="1"/>
    <col min="6662" max="6662" width="9" customWidth="1"/>
    <col min="6663" max="6663" width="13.875" customWidth="1"/>
    <col min="6667" max="6667" width="10.5" bestFit="1" customWidth="1"/>
    <col min="6914" max="6914" width="15.125" customWidth="1"/>
    <col min="6918" max="6918" width="9" customWidth="1"/>
    <col min="6919" max="6919" width="13.875" customWidth="1"/>
    <col min="6923" max="6923" width="10.5" bestFit="1" customWidth="1"/>
    <col min="7170" max="7170" width="15.125" customWidth="1"/>
    <col min="7174" max="7174" width="9" customWidth="1"/>
    <col min="7175" max="7175" width="13.875" customWidth="1"/>
    <col min="7179" max="7179" width="10.5" bestFit="1" customWidth="1"/>
    <col min="7426" max="7426" width="15.125" customWidth="1"/>
    <col min="7430" max="7430" width="9" customWidth="1"/>
    <col min="7431" max="7431" width="13.875" customWidth="1"/>
    <col min="7435" max="7435" width="10.5" bestFit="1" customWidth="1"/>
    <col min="7682" max="7682" width="15.125" customWidth="1"/>
    <col min="7686" max="7686" width="9" customWidth="1"/>
    <col min="7687" max="7687" width="13.875" customWidth="1"/>
    <col min="7691" max="7691" width="10.5" bestFit="1" customWidth="1"/>
    <col min="7938" max="7938" width="15.125" customWidth="1"/>
    <col min="7942" max="7942" width="9" customWidth="1"/>
    <col min="7943" max="7943" width="13.875" customWidth="1"/>
    <col min="7947" max="7947" width="10.5" bestFit="1" customWidth="1"/>
    <col min="8194" max="8194" width="15.125" customWidth="1"/>
    <col min="8198" max="8198" width="9" customWidth="1"/>
    <col min="8199" max="8199" width="13.875" customWidth="1"/>
    <col min="8203" max="8203" width="10.5" bestFit="1" customWidth="1"/>
    <col min="8450" max="8450" width="15.125" customWidth="1"/>
    <col min="8454" max="8454" width="9" customWidth="1"/>
    <col min="8455" max="8455" width="13.875" customWidth="1"/>
    <col min="8459" max="8459" width="10.5" bestFit="1" customWidth="1"/>
    <col min="8706" max="8706" width="15.125" customWidth="1"/>
    <col min="8710" max="8710" width="9" customWidth="1"/>
    <col min="8711" max="8711" width="13.875" customWidth="1"/>
    <col min="8715" max="8715" width="10.5" bestFit="1" customWidth="1"/>
    <col min="8962" max="8962" width="15.125" customWidth="1"/>
    <col min="8966" max="8966" width="9" customWidth="1"/>
    <col min="8967" max="8967" width="13.875" customWidth="1"/>
    <col min="8971" max="8971" width="10.5" bestFit="1" customWidth="1"/>
    <col min="9218" max="9218" width="15.125" customWidth="1"/>
    <col min="9222" max="9222" width="9" customWidth="1"/>
    <col min="9223" max="9223" width="13.875" customWidth="1"/>
    <col min="9227" max="9227" width="10.5" bestFit="1" customWidth="1"/>
    <col min="9474" max="9474" width="15.125" customWidth="1"/>
    <col min="9478" max="9478" width="9" customWidth="1"/>
    <col min="9479" max="9479" width="13.875" customWidth="1"/>
    <col min="9483" max="9483" width="10.5" bestFit="1" customWidth="1"/>
    <col min="9730" max="9730" width="15.125" customWidth="1"/>
    <col min="9734" max="9734" width="9" customWidth="1"/>
    <col min="9735" max="9735" width="13.875" customWidth="1"/>
    <col min="9739" max="9739" width="10.5" bestFit="1" customWidth="1"/>
    <col min="9986" max="9986" width="15.125" customWidth="1"/>
    <col min="9990" max="9990" width="9" customWidth="1"/>
    <col min="9991" max="9991" width="13.875" customWidth="1"/>
    <col min="9995" max="9995" width="10.5" bestFit="1" customWidth="1"/>
    <col min="10242" max="10242" width="15.125" customWidth="1"/>
    <col min="10246" max="10246" width="9" customWidth="1"/>
    <col min="10247" max="10247" width="13.875" customWidth="1"/>
    <col min="10251" max="10251" width="10.5" bestFit="1" customWidth="1"/>
    <col min="10498" max="10498" width="15.125" customWidth="1"/>
    <col min="10502" max="10502" width="9" customWidth="1"/>
    <col min="10503" max="10503" width="13.875" customWidth="1"/>
    <col min="10507" max="10507" width="10.5" bestFit="1" customWidth="1"/>
    <col min="10754" max="10754" width="15.125" customWidth="1"/>
    <col min="10758" max="10758" width="9" customWidth="1"/>
    <col min="10759" max="10759" width="13.875" customWidth="1"/>
    <col min="10763" max="10763" width="10.5" bestFit="1" customWidth="1"/>
    <col min="11010" max="11010" width="15.125" customWidth="1"/>
    <col min="11014" max="11014" width="9" customWidth="1"/>
    <col min="11015" max="11015" width="13.875" customWidth="1"/>
    <col min="11019" max="11019" width="10.5" bestFit="1" customWidth="1"/>
    <col min="11266" max="11266" width="15.125" customWidth="1"/>
    <col min="11270" max="11270" width="9" customWidth="1"/>
    <col min="11271" max="11271" width="13.875" customWidth="1"/>
    <col min="11275" max="11275" width="10.5" bestFit="1" customWidth="1"/>
    <col min="11522" max="11522" width="15.125" customWidth="1"/>
    <col min="11526" max="11526" width="9" customWidth="1"/>
    <col min="11527" max="11527" width="13.875" customWidth="1"/>
    <col min="11531" max="11531" width="10.5" bestFit="1" customWidth="1"/>
    <col min="11778" max="11778" width="15.125" customWidth="1"/>
    <col min="11782" max="11782" width="9" customWidth="1"/>
    <col min="11783" max="11783" width="13.875" customWidth="1"/>
    <col min="11787" max="11787" width="10.5" bestFit="1" customWidth="1"/>
    <col min="12034" max="12034" width="15.125" customWidth="1"/>
    <col min="12038" max="12038" width="9" customWidth="1"/>
    <col min="12039" max="12039" width="13.875" customWidth="1"/>
    <col min="12043" max="12043" width="10.5" bestFit="1" customWidth="1"/>
    <col min="12290" max="12290" width="15.125" customWidth="1"/>
    <col min="12294" max="12294" width="9" customWidth="1"/>
    <col min="12295" max="12295" width="13.875" customWidth="1"/>
    <col min="12299" max="12299" width="10.5" bestFit="1" customWidth="1"/>
    <col min="12546" max="12546" width="15.125" customWidth="1"/>
    <col min="12550" max="12550" width="9" customWidth="1"/>
    <col min="12551" max="12551" width="13.875" customWidth="1"/>
    <col min="12555" max="12555" width="10.5" bestFit="1" customWidth="1"/>
    <col min="12802" max="12802" width="15.125" customWidth="1"/>
    <col min="12806" max="12806" width="9" customWidth="1"/>
    <col min="12807" max="12807" width="13.875" customWidth="1"/>
    <col min="12811" max="12811" width="10.5" bestFit="1" customWidth="1"/>
    <col min="13058" max="13058" width="15.125" customWidth="1"/>
    <col min="13062" max="13062" width="9" customWidth="1"/>
    <col min="13063" max="13063" width="13.875" customWidth="1"/>
    <col min="13067" max="13067" width="10.5" bestFit="1" customWidth="1"/>
    <col min="13314" max="13314" width="15.125" customWidth="1"/>
    <col min="13318" max="13318" width="9" customWidth="1"/>
    <col min="13319" max="13319" width="13.875" customWidth="1"/>
    <col min="13323" max="13323" width="10.5" bestFit="1" customWidth="1"/>
    <col min="13570" max="13570" width="15.125" customWidth="1"/>
    <col min="13574" max="13574" width="9" customWidth="1"/>
    <col min="13575" max="13575" width="13.875" customWidth="1"/>
    <col min="13579" max="13579" width="10.5" bestFit="1" customWidth="1"/>
    <col min="13826" max="13826" width="15.125" customWidth="1"/>
    <col min="13830" max="13830" width="9" customWidth="1"/>
    <col min="13831" max="13831" width="13.875" customWidth="1"/>
    <col min="13835" max="13835" width="10.5" bestFit="1" customWidth="1"/>
    <col min="14082" max="14082" width="15.125" customWidth="1"/>
    <col min="14086" max="14086" width="9" customWidth="1"/>
    <col min="14087" max="14087" width="13.875" customWidth="1"/>
    <col min="14091" max="14091" width="10.5" bestFit="1" customWidth="1"/>
    <col min="14338" max="14338" width="15.125" customWidth="1"/>
    <col min="14342" max="14342" width="9" customWidth="1"/>
    <col min="14343" max="14343" width="13.875" customWidth="1"/>
    <col min="14347" max="14347" width="10.5" bestFit="1" customWidth="1"/>
    <col min="14594" max="14594" width="15.125" customWidth="1"/>
    <col min="14598" max="14598" width="9" customWidth="1"/>
    <col min="14599" max="14599" width="13.875" customWidth="1"/>
    <col min="14603" max="14603" width="10.5" bestFit="1" customWidth="1"/>
    <col min="14850" max="14850" width="15.125" customWidth="1"/>
    <col min="14854" max="14854" width="9" customWidth="1"/>
    <col min="14855" max="14855" width="13.875" customWidth="1"/>
    <col min="14859" max="14859" width="10.5" bestFit="1" customWidth="1"/>
    <col min="15106" max="15106" width="15.125" customWidth="1"/>
    <col min="15110" max="15110" width="9" customWidth="1"/>
    <col min="15111" max="15111" width="13.875" customWidth="1"/>
    <col min="15115" max="15115" width="10.5" bestFit="1" customWidth="1"/>
    <col min="15362" max="15362" width="15.125" customWidth="1"/>
    <col min="15366" max="15366" width="9" customWidth="1"/>
    <col min="15367" max="15367" width="13.875" customWidth="1"/>
    <col min="15371" max="15371" width="10.5" bestFit="1" customWidth="1"/>
    <col min="15618" max="15618" width="15.125" customWidth="1"/>
    <col min="15622" max="15622" width="9" customWidth="1"/>
    <col min="15623" max="15623" width="13.875" customWidth="1"/>
    <col min="15627" max="15627" width="10.5" bestFit="1" customWidth="1"/>
    <col min="15874" max="15874" width="15.125" customWidth="1"/>
    <col min="15878" max="15878" width="9" customWidth="1"/>
    <col min="15879" max="15879" width="13.875" customWidth="1"/>
    <col min="15883" max="15883" width="10.5" bestFit="1" customWidth="1"/>
    <col min="16130" max="16130" width="15.125" customWidth="1"/>
    <col min="16134" max="16134" width="9" customWidth="1"/>
    <col min="16135" max="16135" width="13.875" customWidth="1"/>
    <col min="16139" max="16139" width="10.5" bestFit="1" customWidth="1"/>
  </cols>
  <sheetData>
    <row r="1" spans="1:8" ht="27.75">
      <c r="A1" s="510" t="s">
        <v>158</v>
      </c>
      <c r="B1" s="510"/>
      <c r="C1" s="510"/>
      <c r="D1" s="510"/>
      <c r="E1" s="510"/>
      <c r="F1" s="510"/>
      <c r="G1" s="510"/>
      <c r="H1" s="510"/>
    </row>
    <row r="2" spans="1:8" ht="19.5">
      <c r="A2" s="496" t="s">
        <v>159</v>
      </c>
      <c r="B2" s="496"/>
      <c r="C2" s="496"/>
      <c r="D2" s="496"/>
      <c r="E2" s="496"/>
      <c r="F2" s="496"/>
      <c r="G2" s="496"/>
      <c r="H2" s="496"/>
    </row>
    <row r="3" spans="1:8" ht="19.5">
      <c r="A3" s="161"/>
      <c r="B3" s="161" t="s">
        <v>160</v>
      </c>
      <c r="C3" s="503" t="s">
        <v>16</v>
      </c>
      <c r="D3" s="503"/>
      <c r="E3" s="503"/>
      <c r="F3" s="503"/>
      <c r="G3" s="503"/>
      <c r="H3" s="503"/>
    </row>
    <row r="4" spans="1:8" ht="34.5" customHeight="1">
      <c r="A4" s="162"/>
      <c r="B4" s="161" t="s">
        <v>161</v>
      </c>
      <c r="C4" s="504" t="s">
        <v>156</v>
      </c>
      <c r="D4" s="505"/>
      <c r="E4" s="505"/>
      <c r="F4" s="505"/>
      <c r="G4" s="505"/>
      <c r="H4" s="505"/>
    </row>
    <row r="5" spans="1:8" ht="21">
      <c r="A5" s="163"/>
      <c r="B5" s="161" t="s">
        <v>162</v>
      </c>
      <c r="C5" s="506" t="s">
        <v>163</v>
      </c>
      <c r="D5" s="506"/>
      <c r="E5" s="506"/>
      <c r="F5" s="506"/>
      <c r="G5" s="506"/>
      <c r="H5" s="506"/>
    </row>
    <row r="6" spans="1:8" ht="143.25" customHeight="1">
      <c r="A6" s="163"/>
      <c r="B6" s="164" t="s">
        <v>164</v>
      </c>
      <c r="C6" s="498" t="s">
        <v>165</v>
      </c>
      <c r="D6" s="498"/>
      <c r="E6" s="498"/>
      <c r="F6" s="498"/>
      <c r="G6" s="498"/>
      <c r="H6" s="498"/>
    </row>
    <row r="7" spans="1:8" ht="21">
      <c r="A7" s="163"/>
      <c r="B7" s="161" t="s">
        <v>166</v>
      </c>
      <c r="C7" s="507"/>
      <c r="D7" s="507"/>
      <c r="E7" s="507"/>
      <c r="F7" s="507"/>
      <c r="G7" s="507"/>
      <c r="H7" s="507"/>
    </row>
    <row r="8" spans="1:8" ht="19.5">
      <c r="A8" s="165"/>
      <c r="B8" s="499" t="s">
        <v>167</v>
      </c>
      <c r="C8" s="499"/>
      <c r="D8" s="509">
        <f>D9+D10+D11+D12+D13+D14</f>
        <v>47986659</v>
      </c>
      <c r="E8" s="509"/>
      <c r="F8" s="509"/>
      <c r="G8" s="166" t="s">
        <v>168</v>
      </c>
      <c r="H8" s="161"/>
    </row>
    <row r="9" spans="1:8" ht="19.5">
      <c r="A9" s="165"/>
      <c r="B9" s="511" t="s">
        <v>169</v>
      </c>
      <c r="C9" s="511"/>
      <c r="D9" s="509">
        <v>46578218</v>
      </c>
      <c r="E9" s="509"/>
      <c r="F9" s="509"/>
      <c r="G9" s="166" t="s">
        <v>168</v>
      </c>
      <c r="H9" s="161"/>
    </row>
    <row r="10" spans="1:8" ht="19.5">
      <c r="A10" s="165"/>
      <c r="B10" s="508" t="s">
        <v>170</v>
      </c>
      <c r="C10" s="508"/>
      <c r="D10" s="509">
        <v>1169232</v>
      </c>
      <c r="E10" s="509"/>
      <c r="F10" s="509"/>
      <c r="G10" s="166" t="s">
        <v>168</v>
      </c>
      <c r="H10" s="161"/>
    </row>
    <row r="11" spans="1:8" ht="19.5">
      <c r="A11" s="167"/>
      <c r="B11" s="508" t="s">
        <v>171</v>
      </c>
      <c r="C11" s="508"/>
      <c r="D11" s="509">
        <v>124209</v>
      </c>
      <c r="E11" s="509"/>
      <c r="F11" s="509"/>
      <c r="G11" s="166" t="s">
        <v>168</v>
      </c>
      <c r="H11" s="161"/>
    </row>
    <row r="12" spans="1:8" ht="19.5">
      <c r="A12" s="167"/>
      <c r="B12" s="508" t="s">
        <v>172</v>
      </c>
      <c r="C12" s="508"/>
      <c r="D12" s="509">
        <v>100000</v>
      </c>
      <c r="E12" s="509"/>
      <c r="F12" s="509"/>
      <c r="G12" s="166" t="s">
        <v>168</v>
      </c>
      <c r="H12" s="161"/>
    </row>
    <row r="13" spans="1:8" ht="19.5">
      <c r="A13" s="167"/>
      <c r="B13" s="508" t="s">
        <v>173</v>
      </c>
      <c r="C13" s="508"/>
      <c r="D13" s="509">
        <v>15000</v>
      </c>
      <c r="E13" s="509"/>
      <c r="F13" s="509"/>
      <c r="G13" s="166" t="s">
        <v>168</v>
      </c>
      <c r="H13" s="161"/>
    </row>
    <row r="14" spans="1:8" ht="19.5">
      <c r="A14" s="167"/>
      <c r="B14" s="508"/>
      <c r="C14" s="508"/>
      <c r="D14" s="509"/>
      <c r="E14" s="509"/>
      <c r="F14" s="509"/>
      <c r="G14" s="166"/>
      <c r="H14" s="161"/>
    </row>
    <row r="15" spans="1:8" ht="19.5">
      <c r="A15" s="167"/>
      <c r="B15" s="168"/>
      <c r="C15" s="168"/>
      <c r="D15" s="169"/>
      <c r="E15" s="169"/>
      <c r="F15" s="169"/>
      <c r="G15" s="166"/>
      <c r="H15" s="161"/>
    </row>
    <row r="16" spans="1:8" ht="19.5">
      <c r="A16" s="496" t="s">
        <v>174</v>
      </c>
      <c r="B16" s="496"/>
      <c r="C16" s="496"/>
      <c r="D16" s="496"/>
      <c r="E16" s="496"/>
      <c r="F16" s="496"/>
      <c r="G16" s="496"/>
      <c r="H16" s="496"/>
    </row>
    <row r="17" spans="1:15" s="3" customFormat="1" ht="51" customHeight="1">
      <c r="A17" s="161"/>
      <c r="B17" s="502" t="s">
        <v>175</v>
      </c>
      <c r="C17" s="502"/>
      <c r="D17" s="502"/>
      <c r="E17" s="502"/>
      <c r="F17" s="502"/>
      <c r="G17" s="502"/>
      <c r="H17" s="502"/>
    </row>
    <row r="18" spans="1:15" s="3" customFormat="1" ht="36" customHeight="1">
      <c r="A18" s="161"/>
      <c r="B18" s="502" t="s">
        <v>176</v>
      </c>
      <c r="C18" s="502"/>
      <c r="D18" s="502"/>
      <c r="E18" s="502"/>
      <c r="F18" s="502"/>
      <c r="G18" s="502"/>
      <c r="H18" s="502"/>
    </row>
    <row r="19" spans="1:15" s="3" customFormat="1" ht="19.5" customHeight="1">
      <c r="A19" s="170"/>
    </row>
    <row r="20" spans="1:15" ht="19.5" customHeight="1">
      <c r="D20" s="512"/>
      <c r="E20" s="512"/>
      <c r="F20" s="512"/>
      <c r="G20" s="171"/>
      <c r="H20" s="172"/>
    </row>
    <row r="21" spans="1:15" ht="19.5">
      <c r="A21" s="513" t="s">
        <v>177</v>
      </c>
      <c r="B21" s="513"/>
      <c r="C21" s="514" t="s">
        <v>178</v>
      </c>
      <c r="D21" s="514"/>
      <c r="E21" s="514"/>
      <c r="F21" s="514"/>
      <c r="G21" s="514"/>
      <c r="H21" s="514"/>
    </row>
    <row r="22" spans="1:15" ht="19.5">
      <c r="A22" s="173"/>
      <c r="B22" s="173"/>
      <c r="C22" s="514"/>
      <c r="D22" s="514"/>
      <c r="E22" s="514"/>
      <c r="F22" s="514"/>
      <c r="G22" s="514"/>
      <c r="H22" s="514"/>
    </row>
    <row r="23" spans="1:15" ht="19.5">
      <c r="A23" s="498" t="s">
        <v>179</v>
      </c>
      <c r="B23" s="498"/>
      <c r="C23" s="498"/>
      <c r="D23" s="498"/>
      <c r="E23" s="498"/>
      <c r="F23" s="498"/>
      <c r="G23" s="498"/>
      <c r="H23" s="498"/>
    </row>
    <row r="24" spans="1:15" ht="19.5">
      <c r="A24" s="161"/>
      <c r="B24" s="499" t="s">
        <v>180</v>
      </c>
      <c r="C24" s="499"/>
      <c r="D24" s="166">
        <v>360</v>
      </c>
      <c r="E24" s="500" t="s">
        <v>181</v>
      </c>
      <c r="F24" s="500"/>
      <c r="G24" s="500"/>
      <c r="H24" s="500"/>
    </row>
    <row r="25" spans="1:15" ht="19.5">
      <c r="A25" s="161"/>
      <c r="B25" s="496"/>
      <c r="C25" s="496"/>
      <c r="D25" s="501" t="s">
        <v>182</v>
      </c>
      <c r="E25" s="501"/>
      <c r="F25" s="501"/>
      <c r="G25" s="501"/>
      <c r="H25" s="501"/>
    </row>
    <row r="26" spans="1:15" ht="19.5">
      <c r="A26" s="161"/>
      <c r="B26" s="496" t="s">
        <v>183</v>
      </c>
      <c r="C26" s="496"/>
      <c r="D26" s="497"/>
      <c r="E26" s="497"/>
      <c r="F26" s="497"/>
      <c r="G26" s="497"/>
      <c r="H26" s="497"/>
    </row>
    <row r="27" spans="1:15" ht="19.5">
      <c r="A27" s="161"/>
      <c r="B27" s="496" t="s">
        <v>184</v>
      </c>
      <c r="C27" s="496"/>
      <c r="D27" s="497"/>
      <c r="E27" s="497"/>
      <c r="F27" s="497"/>
      <c r="G27" s="497"/>
      <c r="H27" s="497"/>
    </row>
    <row r="28" spans="1:15" s="3" customFormat="1" ht="19.5">
      <c r="A28" s="161" t="s">
        <v>185</v>
      </c>
      <c r="B28" s="174"/>
      <c r="C28" s="174" t="s">
        <v>186</v>
      </c>
      <c r="D28" s="174"/>
      <c r="E28" s="174"/>
      <c r="F28" s="174"/>
      <c r="G28" s="174"/>
      <c r="H28" s="174"/>
      <c r="J28" s="175" t="s">
        <v>187</v>
      </c>
      <c r="K28" s="176">
        <v>424737.50699999998</v>
      </c>
      <c r="L28" s="177" t="s">
        <v>188</v>
      </c>
    </row>
    <row r="29" spans="1:15" ht="19.5">
      <c r="A29" s="161" t="s">
        <v>189</v>
      </c>
      <c r="B29" s="174"/>
      <c r="C29" s="174" t="s">
        <v>190</v>
      </c>
      <c r="D29" s="174"/>
      <c r="E29" s="174"/>
      <c r="F29" s="174"/>
      <c r="G29" s="174"/>
      <c r="K29" s="176"/>
      <c r="N29" s="175" t="s">
        <v>191</v>
      </c>
      <c r="O29" s="175" t="s">
        <v>192</v>
      </c>
    </row>
    <row r="30" spans="1:15">
      <c r="I30" s="175" t="s">
        <v>193</v>
      </c>
      <c r="J30" s="175" t="s">
        <v>191</v>
      </c>
      <c r="K30" s="176">
        <v>80166800</v>
      </c>
      <c r="L30" s="177" t="s">
        <v>188</v>
      </c>
      <c r="M30" s="175" t="s">
        <v>194</v>
      </c>
    </row>
    <row r="31" spans="1:15">
      <c r="J31" s="175" t="s">
        <v>192</v>
      </c>
      <c r="K31" s="176">
        <v>48000</v>
      </c>
      <c r="M31" s="175" t="s">
        <v>195</v>
      </c>
    </row>
    <row r="32" spans="1:15">
      <c r="M32" s="175" t="s">
        <v>196</v>
      </c>
    </row>
    <row r="34" spans="10:11">
      <c r="J34" s="175" t="s">
        <v>197</v>
      </c>
      <c r="K34">
        <f>(K28/K30)*K31</f>
        <v>254.31226313137108</v>
      </c>
    </row>
  </sheetData>
  <mergeCells count="37">
    <mergeCell ref="B18:H18"/>
    <mergeCell ref="D20:F20"/>
    <mergeCell ref="A21:B21"/>
    <mergeCell ref="C21:H21"/>
    <mergeCell ref="C22:H22"/>
    <mergeCell ref="A16:H16"/>
    <mergeCell ref="A1:H1"/>
    <mergeCell ref="A2:H2"/>
    <mergeCell ref="B8:C8"/>
    <mergeCell ref="D8:F8"/>
    <mergeCell ref="B9:C9"/>
    <mergeCell ref="D9:F9"/>
    <mergeCell ref="B17:H17"/>
    <mergeCell ref="C3:H3"/>
    <mergeCell ref="C4:H4"/>
    <mergeCell ref="C5:H5"/>
    <mergeCell ref="C6:H6"/>
    <mergeCell ref="C7:H7"/>
    <mergeCell ref="B12:C12"/>
    <mergeCell ref="D12:F12"/>
    <mergeCell ref="B13:C13"/>
    <mergeCell ref="D13:F13"/>
    <mergeCell ref="B14:C14"/>
    <mergeCell ref="D14:F14"/>
    <mergeCell ref="B10:C10"/>
    <mergeCell ref="D10:F10"/>
    <mergeCell ref="B11:C11"/>
    <mergeCell ref="D11:F11"/>
    <mergeCell ref="B26:C26"/>
    <mergeCell ref="D26:H26"/>
    <mergeCell ref="B27:C27"/>
    <mergeCell ref="D27:H27"/>
    <mergeCell ref="A23:H23"/>
    <mergeCell ref="B24:C24"/>
    <mergeCell ref="E24:H24"/>
    <mergeCell ref="B25:C25"/>
    <mergeCell ref="D25:H25"/>
  </mergeCells>
  <phoneticPr fontId="5" type="noConversion"/>
  <printOptions horizontalCentered="1" verticalCentered="1"/>
  <pageMargins left="0.59055118110236227" right="0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61"/>
  <sheetViews>
    <sheetView view="pageBreakPreview" topLeftCell="A27" zoomScale="85" zoomScaleNormal="55" zoomScaleSheetLayoutView="85" workbookViewId="0">
      <selection activeCell="E34" sqref="E34:E36"/>
    </sheetView>
  </sheetViews>
  <sheetFormatPr defaultColWidth="9" defaultRowHeight="16.5"/>
  <cols>
    <col min="1" max="1" width="5.875" style="261" bestFit="1" customWidth="1"/>
    <col min="2" max="4" width="22.625" style="261" customWidth="1"/>
    <col min="5" max="5" width="55.625" style="261" customWidth="1"/>
    <col min="6" max="6" width="17.625" style="261" customWidth="1"/>
    <col min="7" max="7" width="24.625" style="261" customWidth="1"/>
    <col min="8" max="8" width="11.125" style="261" bestFit="1" customWidth="1"/>
    <col min="9" max="255" width="9" style="261"/>
    <col min="256" max="256" width="4.125" style="261" customWidth="1"/>
    <col min="257" max="257" width="8.375" style="261" customWidth="1"/>
    <col min="258" max="258" width="12.5" style="261" customWidth="1"/>
    <col min="259" max="259" width="8.375" style="261" customWidth="1"/>
    <col min="260" max="260" width="20" style="261" customWidth="1"/>
    <col min="261" max="261" width="33.375" style="261" customWidth="1"/>
    <col min="262" max="262" width="13.375" style="261" customWidth="1"/>
    <col min="263" max="263" width="10" style="261" customWidth="1"/>
    <col min="264" max="264" width="11.125" style="261" bestFit="1" customWidth="1"/>
    <col min="265" max="511" width="9" style="261"/>
    <col min="512" max="512" width="4.125" style="261" customWidth="1"/>
    <col min="513" max="513" width="8.375" style="261" customWidth="1"/>
    <col min="514" max="514" width="12.5" style="261" customWidth="1"/>
    <col min="515" max="515" width="8.375" style="261" customWidth="1"/>
    <col min="516" max="516" width="20" style="261" customWidth="1"/>
    <col min="517" max="517" width="33.375" style="261" customWidth="1"/>
    <col min="518" max="518" width="13.375" style="261" customWidth="1"/>
    <col min="519" max="519" width="10" style="261" customWidth="1"/>
    <col min="520" max="520" width="11.125" style="261" bestFit="1" customWidth="1"/>
    <col min="521" max="767" width="9" style="261"/>
    <col min="768" max="768" width="4.125" style="261" customWidth="1"/>
    <col min="769" max="769" width="8.375" style="261" customWidth="1"/>
    <col min="770" max="770" width="12.5" style="261" customWidth="1"/>
    <col min="771" max="771" width="8.375" style="261" customWidth="1"/>
    <col min="772" max="772" width="20" style="261" customWidth="1"/>
    <col min="773" max="773" width="33.375" style="261" customWidth="1"/>
    <col min="774" max="774" width="13.375" style="261" customWidth="1"/>
    <col min="775" max="775" width="10" style="261" customWidth="1"/>
    <col min="776" max="776" width="11.125" style="261" bestFit="1" customWidth="1"/>
    <col min="777" max="1023" width="9" style="261"/>
    <col min="1024" max="1024" width="4.125" style="261" customWidth="1"/>
    <col min="1025" max="1025" width="8.375" style="261" customWidth="1"/>
    <col min="1026" max="1026" width="12.5" style="261" customWidth="1"/>
    <col min="1027" max="1027" width="8.375" style="261" customWidth="1"/>
    <col min="1028" max="1028" width="20" style="261" customWidth="1"/>
    <col min="1029" max="1029" width="33.375" style="261" customWidth="1"/>
    <col min="1030" max="1030" width="13.375" style="261" customWidth="1"/>
    <col min="1031" max="1031" width="10" style="261" customWidth="1"/>
    <col min="1032" max="1032" width="11.125" style="261" bestFit="1" customWidth="1"/>
    <col min="1033" max="1279" width="9" style="261"/>
    <col min="1280" max="1280" width="4.125" style="261" customWidth="1"/>
    <col min="1281" max="1281" width="8.375" style="261" customWidth="1"/>
    <col min="1282" max="1282" width="12.5" style="261" customWidth="1"/>
    <col min="1283" max="1283" width="8.375" style="261" customWidth="1"/>
    <col min="1284" max="1284" width="20" style="261" customWidth="1"/>
    <col min="1285" max="1285" width="33.375" style="261" customWidth="1"/>
    <col min="1286" max="1286" width="13.375" style="261" customWidth="1"/>
    <col min="1287" max="1287" width="10" style="261" customWidth="1"/>
    <col min="1288" max="1288" width="11.125" style="261" bestFit="1" customWidth="1"/>
    <col min="1289" max="1535" width="9" style="261"/>
    <col min="1536" max="1536" width="4.125" style="261" customWidth="1"/>
    <col min="1537" max="1537" width="8.375" style="261" customWidth="1"/>
    <col min="1538" max="1538" width="12.5" style="261" customWidth="1"/>
    <col min="1539" max="1539" width="8.375" style="261" customWidth="1"/>
    <col min="1540" max="1540" width="20" style="261" customWidth="1"/>
    <col min="1541" max="1541" width="33.375" style="261" customWidth="1"/>
    <col min="1542" max="1542" width="13.375" style="261" customWidth="1"/>
    <col min="1543" max="1543" width="10" style="261" customWidth="1"/>
    <col min="1544" max="1544" width="11.125" style="261" bestFit="1" customWidth="1"/>
    <col min="1545" max="1791" width="9" style="261"/>
    <col min="1792" max="1792" width="4.125" style="261" customWidth="1"/>
    <col min="1793" max="1793" width="8.375" style="261" customWidth="1"/>
    <col min="1794" max="1794" width="12.5" style="261" customWidth="1"/>
    <col min="1795" max="1795" width="8.375" style="261" customWidth="1"/>
    <col min="1796" max="1796" width="20" style="261" customWidth="1"/>
    <col min="1797" max="1797" width="33.375" style="261" customWidth="1"/>
    <col min="1798" max="1798" width="13.375" style="261" customWidth="1"/>
    <col min="1799" max="1799" width="10" style="261" customWidth="1"/>
    <col min="1800" max="1800" width="11.125" style="261" bestFit="1" customWidth="1"/>
    <col min="1801" max="2047" width="9" style="261"/>
    <col min="2048" max="2048" width="4.125" style="261" customWidth="1"/>
    <col min="2049" max="2049" width="8.375" style="261" customWidth="1"/>
    <col min="2050" max="2050" width="12.5" style="261" customWidth="1"/>
    <col min="2051" max="2051" width="8.375" style="261" customWidth="1"/>
    <col min="2052" max="2052" width="20" style="261" customWidth="1"/>
    <col min="2053" max="2053" width="33.375" style="261" customWidth="1"/>
    <col min="2054" max="2054" width="13.375" style="261" customWidth="1"/>
    <col min="2055" max="2055" width="10" style="261" customWidth="1"/>
    <col min="2056" max="2056" width="11.125" style="261" bestFit="1" customWidth="1"/>
    <col min="2057" max="2303" width="9" style="261"/>
    <col min="2304" max="2304" width="4.125" style="261" customWidth="1"/>
    <col min="2305" max="2305" width="8.375" style="261" customWidth="1"/>
    <col min="2306" max="2306" width="12.5" style="261" customWidth="1"/>
    <col min="2307" max="2307" width="8.375" style="261" customWidth="1"/>
    <col min="2308" max="2308" width="20" style="261" customWidth="1"/>
    <col min="2309" max="2309" width="33.375" style="261" customWidth="1"/>
    <col min="2310" max="2310" width="13.375" style="261" customWidth="1"/>
    <col min="2311" max="2311" width="10" style="261" customWidth="1"/>
    <col min="2312" max="2312" width="11.125" style="261" bestFit="1" customWidth="1"/>
    <col min="2313" max="2559" width="9" style="261"/>
    <col min="2560" max="2560" width="4.125" style="261" customWidth="1"/>
    <col min="2561" max="2561" width="8.375" style="261" customWidth="1"/>
    <col min="2562" max="2562" width="12.5" style="261" customWidth="1"/>
    <col min="2563" max="2563" width="8.375" style="261" customWidth="1"/>
    <col min="2564" max="2564" width="20" style="261" customWidth="1"/>
    <col min="2565" max="2565" width="33.375" style="261" customWidth="1"/>
    <col min="2566" max="2566" width="13.375" style="261" customWidth="1"/>
    <col min="2567" max="2567" width="10" style="261" customWidth="1"/>
    <col min="2568" max="2568" width="11.125" style="261" bestFit="1" customWidth="1"/>
    <col min="2569" max="2815" width="9" style="261"/>
    <col min="2816" max="2816" width="4.125" style="261" customWidth="1"/>
    <col min="2817" max="2817" width="8.375" style="261" customWidth="1"/>
    <col min="2818" max="2818" width="12.5" style="261" customWidth="1"/>
    <col min="2819" max="2819" width="8.375" style="261" customWidth="1"/>
    <col min="2820" max="2820" width="20" style="261" customWidth="1"/>
    <col min="2821" max="2821" width="33.375" style="261" customWidth="1"/>
    <col min="2822" max="2822" width="13.375" style="261" customWidth="1"/>
    <col min="2823" max="2823" width="10" style="261" customWidth="1"/>
    <col min="2824" max="2824" width="11.125" style="261" bestFit="1" customWidth="1"/>
    <col min="2825" max="3071" width="9" style="261"/>
    <col min="3072" max="3072" width="4.125" style="261" customWidth="1"/>
    <col min="3073" max="3073" width="8.375" style="261" customWidth="1"/>
    <col min="3074" max="3074" width="12.5" style="261" customWidth="1"/>
    <col min="3075" max="3075" width="8.375" style="261" customWidth="1"/>
    <col min="3076" max="3076" width="20" style="261" customWidth="1"/>
    <col min="3077" max="3077" width="33.375" style="261" customWidth="1"/>
    <col min="3078" max="3078" width="13.375" style="261" customWidth="1"/>
    <col min="3079" max="3079" width="10" style="261" customWidth="1"/>
    <col min="3080" max="3080" width="11.125" style="261" bestFit="1" customWidth="1"/>
    <col min="3081" max="3327" width="9" style="261"/>
    <col min="3328" max="3328" width="4.125" style="261" customWidth="1"/>
    <col min="3329" max="3329" width="8.375" style="261" customWidth="1"/>
    <col min="3330" max="3330" width="12.5" style="261" customWidth="1"/>
    <col min="3331" max="3331" width="8.375" style="261" customWidth="1"/>
    <col min="3332" max="3332" width="20" style="261" customWidth="1"/>
    <col min="3333" max="3333" width="33.375" style="261" customWidth="1"/>
    <col min="3334" max="3334" width="13.375" style="261" customWidth="1"/>
    <col min="3335" max="3335" width="10" style="261" customWidth="1"/>
    <col min="3336" max="3336" width="11.125" style="261" bestFit="1" customWidth="1"/>
    <col min="3337" max="3583" width="9" style="261"/>
    <col min="3584" max="3584" width="4.125" style="261" customWidth="1"/>
    <col min="3585" max="3585" width="8.375" style="261" customWidth="1"/>
    <col min="3586" max="3586" width="12.5" style="261" customWidth="1"/>
    <col min="3587" max="3587" width="8.375" style="261" customWidth="1"/>
    <col min="3588" max="3588" width="20" style="261" customWidth="1"/>
    <col min="3589" max="3589" width="33.375" style="261" customWidth="1"/>
    <col min="3590" max="3590" width="13.375" style="261" customWidth="1"/>
    <col min="3591" max="3591" width="10" style="261" customWidth="1"/>
    <col min="3592" max="3592" width="11.125" style="261" bestFit="1" customWidth="1"/>
    <col min="3593" max="3839" width="9" style="261"/>
    <col min="3840" max="3840" width="4.125" style="261" customWidth="1"/>
    <col min="3841" max="3841" width="8.375" style="261" customWidth="1"/>
    <col min="3842" max="3842" width="12.5" style="261" customWidth="1"/>
    <col min="3843" max="3843" width="8.375" style="261" customWidth="1"/>
    <col min="3844" max="3844" width="20" style="261" customWidth="1"/>
    <col min="3845" max="3845" width="33.375" style="261" customWidth="1"/>
    <col min="3846" max="3846" width="13.375" style="261" customWidth="1"/>
    <col min="3847" max="3847" width="10" style="261" customWidth="1"/>
    <col min="3848" max="3848" width="11.125" style="261" bestFit="1" customWidth="1"/>
    <col min="3849" max="4095" width="9" style="261"/>
    <col min="4096" max="4096" width="4.125" style="261" customWidth="1"/>
    <col min="4097" max="4097" width="8.375" style="261" customWidth="1"/>
    <col min="4098" max="4098" width="12.5" style="261" customWidth="1"/>
    <col min="4099" max="4099" width="8.375" style="261" customWidth="1"/>
    <col min="4100" max="4100" width="20" style="261" customWidth="1"/>
    <col min="4101" max="4101" width="33.375" style="261" customWidth="1"/>
    <col min="4102" max="4102" width="13.375" style="261" customWidth="1"/>
    <col min="4103" max="4103" width="10" style="261" customWidth="1"/>
    <col min="4104" max="4104" width="11.125" style="261" bestFit="1" customWidth="1"/>
    <col min="4105" max="4351" width="9" style="261"/>
    <col min="4352" max="4352" width="4.125" style="261" customWidth="1"/>
    <col min="4353" max="4353" width="8.375" style="261" customWidth="1"/>
    <col min="4354" max="4354" width="12.5" style="261" customWidth="1"/>
    <col min="4355" max="4355" width="8.375" style="261" customWidth="1"/>
    <col min="4356" max="4356" width="20" style="261" customWidth="1"/>
    <col min="4357" max="4357" width="33.375" style="261" customWidth="1"/>
    <col min="4358" max="4358" width="13.375" style="261" customWidth="1"/>
    <col min="4359" max="4359" width="10" style="261" customWidth="1"/>
    <col min="4360" max="4360" width="11.125" style="261" bestFit="1" customWidth="1"/>
    <col min="4361" max="4607" width="9" style="261"/>
    <col min="4608" max="4608" width="4.125" style="261" customWidth="1"/>
    <col min="4609" max="4609" width="8.375" style="261" customWidth="1"/>
    <col min="4610" max="4610" width="12.5" style="261" customWidth="1"/>
    <col min="4611" max="4611" width="8.375" style="261" customWidth="1"/>
    <col min="4612" max="4612" width="20" style="261" customWidth="1"/>
    <col min="4613" max="4613" width="33.375" style="261" customWidth="1"/>
    <col min="4614" max="4614" width="13.375" style="261" customWidth="1"/>
    <col min="4615" max="4615" width="10" style="261" customWidth="1"/>
    <col min="4616" max="4616" width="11.125" style="261" bestFit="1" customWidth="1"/>
    <col min="4617" max="4863" width="9" style="261"/>
    <col min="4864" max="4864" width="4.125" style="261" customWidth="1"/>
    <col min="4865" max="4865" width="8.375" style="261" customWidth="1"/>
    <col min="4866" max="4866" width="12.5" style="261" customWidth="1"/>
    <col min="4867" max="4867" width="8.375" style="261" customWidth="1"/>
    <col min="4868" max="4868" width="20" style="261" customWidth="1"/>
    <col min="4869" max="4869" width="33.375" style="261" customWidth="1"/>
    <col min="4870" max="4870" width="13.375" style="261" customWidth="1"/>
    <col min="4871" max="4871" width="10" style="261" customWidth="1"/>
    <col min="4872" max="4872" width="11.125" style="261" bestFit="1" customWidth="1"/>
    <col min="4873" max="5119" width="9" style="261"/>
    <col min="5120" max="5120" width="4.125" style="261" customWidth="1"/>
    <col min="5121" max="5121" width="8.375" style="261" customWidth="1"/>
    <col min="5122" max="5122" width="12.5" style="261" customWidth="1"/>
    <col min="5123" max="5123" width="8.375" style="261" customWidth="1"/>
    <col min="5124" max="5124" width="20" style="261" customWidth="1"/>
    <col min="5125" max="5125" width="33.375" style="261" customWidth="1"/>
    <col min="5126" max="5126" width="13.375" style="261" customWidth="1"/>
    <col min="5127" max="5127" width="10" style="261" customWidth="1"/>
    <col min="5128" max="5128" width="11.125" style="261" bestFit="1" customWidth="1"/>
    <col min="5129" max="5375" width="9" style="261"/>
    <col min="5376" max="5376" width="4.125" style="261" customWidth="1"/>
    <col min="5377" max="5377" width="8.375" style="261" customWidth="1"/>
    <col min="5378" max="5378" width="12.5" style="261" customWidth="1"/>
    <col min="5379" max="5379" width="8.375" style="261" customWidth="1"/>
    <col min="5380" max="5380" width="20" style="261" customWidth="1"/>
    <col min="5381" max="5381" width="33.375" style="261" customWidth="1"/>
    <col min="5382" max="5382" width="13.375" style="261" customWidth="1"/>
    <col min="5383" max="5383" width="10" style="261" customWidth="1"/>
    <col min="5384" max="5384" width="11.125" style="261" bestFit="1" customWidth="1"/>
    <col min="5385" max="5631" width="9" style="261"/>
    <col min="5632" max="5632" width="4.125" style="261" customWidth="1"/>
    <col min="5633" max="5633" width="8.375" style="261" customWidth="1"/>
    <col min="5634" max="5634" width="12.5" style="261" customWidth="1"/>
    <col min="5635" max="5635" width="8.375" style="261" customWidth="1"/>
    <col min="5636" max="5636" width="20" style="261" customWidth="1"/>
    <col min="5637" max="5637" width="33.375" style="261" customWidth="1"/>
    <col min="5638" max="5638" width="13.375" style="261" customWidth="1"/>
    <col min="5639" max="5639" width="10" style="261" customWidth="1"/>
    <col min="5640" max="5640" width="11.125" style="261" bestFit="1" customWidth="1"/>
    <col min="5641" max="5887" width="9" style="261"/>
    <col min="5888" max="5888" width="4.125" style="261" customWidth="1"/>
    <col min="5889" max="5889" width="8.375" style="261" customWidth="1"/>
    <col min="5890" max="5890" width="12.5" style="261" customWidth="1"/>
    <col min="5891" max="5891" width="8.375" style="261" customWidth="1"/>
    <col min="5892" max="5892" width="20" style="261" customWidth="1"/>
    <col min="5893" max="5893" width="33.375" style="261" customWidth="1"/>
    <col min="5894" max="5894" width="13.375" style="261" customWidth="1"/>
    <col min="5895" max="5895" width="10" style="261" customWidth="1"/>
    <col min="5896" max="5896" width="11.125" style="261" bestFit="1" customWidth="1"/>
    <col min="5897" max="6143" width="9" style="261"/>
    <col min="6144" max="6144" width="4.125" style="261" customWidth="1"/>
    <col min="6145" max="6145" width="8.375" style="261" customWidth="1"/>
    <col min="6146" max="6146" width="12.5" style="261" customWidth="1"/>
    <col min="6147" max="6147" width="8.375" style="261" customWidth="1"/>
    <col min="6148" max="6148" width="20" style="261" customWidth="1"/>
    <col min="6149" max="6149" width="33.375" style="261" customWidth="1"/>
    <col min="6150" max="6150" width="13.375" style="261" customWidth="1"/>
    <col min="6151" max="6151" width="10" style="261" customWidth="1"/>
    <col min="6152" max="6152" width="11.125" style="261" bestFit="1" customWidth="1"/>
    <col min="6153" max="6399" width="9" style="261"/>
    <col min="6400" max="6400" width="4.125" style="261" customWidth="1"/>
    <col min="6401" max="6401" width="8.375" style="261" customWidth="1"/>
    <col min="6402" max="6402" width="12.5" style="261" customWidth="1"/>
    <col min="6403" max="6403" width="8.375" style="261" customWidth="1"/>
    <col min="6404" max="6404" width="20" style="261" customWidth="1"/>
    <col min="6405" max="6405" width="33.375" style="261" customWidth="1"/>
    <col min="6406" max="6406" width="13.375" style="261" customWidth="1"/>
    <col min="6407" max="6407" width="10" style="261" customWidth="1"/>
    <col min="6408" max="6408" width="11.125" style="261" bestFit="1" customWidth="1"/>
    <col min="6409" max="6655" width="9" style="261"/>
    <col min="6656" max="6656" width="4.125" style="261" customWidth="1"/>
    <col min="6657" max="6657" width="8.375" style="261" customWidth="1"/>
    <col min="6658" max="6658" width="12.5" style="261" customWidth="1"/>
    <col min="6659" max="6659" width="8.375" style="261" customWidth="1"/>
    <col min="6660" max="6660" width="20" style="261" customWidth="1"/>
    <col min="6661" max="6661" width="33.375" style="261" customWidth="1"/>
    <col min="6662" max="6662" width="13.375" style="261" customWidth="1"/>
    <col min="6663" max="6663" width="10" style="261" customWidth="1"/>
    <col min="6664" max="6664" width="11.125" style="261" bestFit="1" customWidth="1"/>
    <col min="6665" max="6911" width="9" style="261"/>
    <col min="6912" max="6912" width="4.125" style="261" customWidth="1"/>
    <col min="6913" max="6913" width="8.375" style="261" customWidth="1"/>
    <col min="6914" max="6914" width="12.5" style="261" customWidth="1"/>
    <col min="6915" max="6915" width="8.375" style="261" customWidth="1"/>
    <col min="6916" max="6916" width="20" style="261" customWidth="1"/>
    <col min="6917" max="6917" width="33.375" style="261" customWidth="1"/>
    <col min="6918" max="6918" width="13.375" style="261" customWidth="1"/>
    <col min="6919" max="6919" width="10" style="261" customWidth="1"/>
    <col min="6920" max="6920" width="11.125" style="261" bestFit="1" customWidth="1"/>
    <col min="6921" max="7167" width="9" style="261"/>
    <col min="7168" max="7168" width="4.125" style="261" customWidth="1"/>
    <col min="7169" max="7169" width="8.375" style="261" customWidth="1"/>
    <col min="7170" max="7170" width="12.5" style="261" customWidth="1"/>
    <col min="7171" max="7171" width="8.375" style="261" customWidth="1"/>
    <col min="7172" max="7172" width="20" style="261" customWidth="1"/>
    <col min="7173" max="7173" width="33.375" style="261" customWidth="1"/>
    <col min="7174" max="7174" width="13.375" style="261" customWidth="1"/>
    <col min="7175" max="7175" width="10" style="261" customWidth="1"/>
    <col min="7176" max="7176" width="11.125" style="261" bestFit="1" customWidth="1"/>
    <col min="7177" max="7423" width="9" style="261"/>
    <col min="7424" max="7424" width="4.125" style="261" customWidth="1"/>
    <col min="7425" max="7425" width="8.375" style="261" customWidth="1"/>
    <col min="7426" max="7426" width="12.5" style="261" customWidth="1"/>
    <col min="7427" max="7427" width="8.375" style="261" customWidth="1"/>
    <col min="7428" max="7428" width="20" style="261" customWidth="1"/>
    <col min="7429" max="7429" width="33.375" style="261" customWidth="1"/>
    <col min="7430" max="7430" width="13.375" style="261" customWidth="1"/>
    <col min="7431" max="7431" width="10" style="261" customWidth="1"/>
    <col min="7432" max="7432" width="11.125" style="261" bestFit="1" customWidth="1"/>
    <col min="7433" max="7679" width="9" style="261"/>
    <col min="7680" max="7680" width="4.125" style="261" customWidth="1"/>
    <col min="7681" max="7681" width="8.375" style="261" customWidth="1"/>
    <col min="7682" max="7682" width="12.5" style="261" customWidth="1"/>
    <col min="7683" max="7683" width="8.375" style="261" customWidth="1"/>
    <col min="7684" max="7684" width="20" style="261" customWidth="1"/>
    <col min="7685" max="7685" width="33.375" style="261" customWidth="1"/>
    <col min="7686" max="7686" width="13.375" style="261" customWidth="1"/>
    <col min="7687" max="7687" width="10" style="261" customWidth="1"/>
    <col min="7688" max="7688" width="11.125" style="261" bestFit="1" customWidth="1"/>
    <col min="7689" max="7935" width="9" style="261"/>
    <col min="7936" max="7936" width="4.125" style="261" customWidth="1"/>
    <col min="7937" max="7937" width="8.375" style="261" customWidth="1"/>
    <col min="7938" max="7938" width="12.5" style="261" customWidth="1"/>
    <col min="7939" max="7939" width="8.375" style="261" customWidth="1"/>
    <col min="7940" max="7940" width="20" style="261" customWidth="1"/>
    <col min="7941" max="7941" width="33.375" style="261" customWidth="1"/>
    <col min="7942" max="7942" width="13.375" style="261" customWidth="1"/>
    <col min="7943" max="7943" width="10" style="261" customWidth="1"/>
    <col min="7944" max="7944" width="11.125" style="261" bestFit="1" customWidth="1"/>
    <col min="7945" max="8191" width="9" style="261"/>
    <col min="8192" max="8192" width="4.125" style="261" customWidth="1"/>
    <col min="8193" max="8193" width="8.375" style="261" customWidth="1"/>
    <col min="8194" max="8194" width="12.5" style="261" customWidth="1"/>
    <col min="8195" max="8195" width="8.375" style="261" customWidth="1"/>
    <col min="8196" max="8196" width="20" style="261" customWidth="1"/>
    <col min="8197" max="8197" width="33.375" style="261" customWidth="1"/>
    <col min="8198" max="8198" width="13.375" style="261" customWidth="1"/>
    <col min="8199" max="8199" width="10" style="261" customWidth="1"/>
    <col min="8200" max="8200" width="11.125" style="261" bestFit="1" customWidth="1"/>
    <col min="8201" max="8447" width="9" style="261"/>
    <col min="8448" max="8448" width="4.125" style="261" customWidth="1"/>
    <col min="8449" max="8449" width="8.375" style="261" customWidth="1"/>
    <col min="8450" max="8450" width="12.5" style="261" customWidth="1"/>
    <col min="8451" max="8451" width="8.375" style="261" customWidth="1"/>
    <col min="8452" max="8452" width="20" style="261" customWidth="1"/>
    <col min="8453" max="8453" width="33.375" style="261" customWidth="1"/>
    <col min="8454" max="8454" width="13.375" style="261" customWidth="1"/>
    <col min="8455" max="8455" width="10" style="261" customWidth="1"/>
    <col min="8456" max="8456" width="11.125" style="261" bestFit="1" customWidth="1"/>
    <col min="8457" max="8703" width="9" style="261"/>
    <col min="8704" max="8704" width="4.125" style="261" customWidth="1"/>
    <col min="8705" max="8705" width="8.375" style="261" customWidth="1"/>
    <col min="8706" max="8706" width="12.5" style="261" customWidth="1"/>
    <col min="8707" max="8707" width="8.375" style="261" customWidth="1"/>
    <col min="8708" max="8708" width="20" style="261" customWidth="1"/>
    <col min="8709" max="8709" width="33.375" style="261" customWidth="1"/>
    <col min="8710" max="8710" width="13.375" style="261" customWidth="1"/>
    <col min="8711" max="8711" width="10" style="261" customWidth="1"/>
    <col min="8712" max="8712" width="11.125" style="261" bestFit="1" customWidth="1"/>
    <col min="8713" max="8959" width="9" style="261"/>
    <col min="8960" max="8960" width="4.125" style="261" customWidth="1"/>
    <col min="8961" max="8961" width="8.375" style="261" customWidth="1"/>
    <col min="8962" max="8962" width="12.5" style="261" customWidth="1"/>
    <col min="8963" max="8963" width="8.375" style="261" customWidth="1"/>
    <col min="8964" max="8964" width="20" style="261" customWidth="1"/>
    <col min="8965" max="8965" width="33.375" style="261" customWidth="1"/>
    <col min="8966" max="8966" width="13.375" style="261" customWidth="1"/>
    <col min="8967" max="8967" width="10" style="261" customWidth="1"/>
    <col min="8968" max="8968" width="11.125" style="261" bestFit="1" customWidth="1"/>
    <col min="8969" max="9215" width="9" style="261"/>
    <col min="9216" max="9216" width="4.125" style="261" customWidth="1"/>
    <col min="9217" max="9217" width="8.375" style="261" customWidth="1"/>
    <col min="9218" max="9218" width="12.5" style="261" customWidth="1"/>
    <col min="9219" max="9219" width="8.375" style="261" customWidth="1"/>
    <col min="9220" max="9220" width="20" style="261" customWidth="1"/>
    <col min="9221" max="9221" width="33.375" style="261" customWidth="1"/>
    <col min="9222" max="9222" width="13.375" style="261" customWidth="1"/>
    <col min="9223" max="9223" width="10" style="261" customWidth="1"/>
    <col min="9224" max="9224" width="11.125" style="261" bestFit="1" customWidth="1"/>
    <col min="9225" max="9471" width="9" style="261"/>
    <col min="9472" max="9472" width="4.125" style="261" customWidth="1"/>
    <col min="9473" max="9473" width="8.375" style="261" customWidth="1"/>
    <col min="9474" max="9474" width="12.5" style="261" customWidth="1"/>
    <col min="9475" max="9475" width="8.375" style="261" customWidth="1"/>
    <col min="9476" max="9476" width="20" style="261" customWidth="1"/>
    <col min="9477" max="9477" width="33.375" style="261" customWidth="1"/>
    <col min="9478" max="9478" width="13.375" style="261" customWidth="1"/>
    <col min="9479" max="9479" width="10" style="261" customWidth="1"/>
    <col min="9480" max="9480" width="11.125" style="261" bestFit="1" customWidth="1"/>
    <col min="9481" max="9727" width="9" style="261"/>
    <col min="9728" max="9728" width="4.125" style="261" customWidth="1"/>
    <col min="9729" max="9729" width="8.375" style="261" customWidth="1"/>
    <col min="9730" max="9730" width="12.5" style="261" customWidth="1"/>
    <col min="9731" max="9731" width="8.375" style="261" customWidth="1"/>
    <col min="9732" max="9732" width="20" style="261" customWidth="1"/>
    <col min="9733" max="9733" width="33.375" style="261" customWidth="1"/>
    <col min="9734" max="9734" width="13.375" style="261" customWidth="1"/>
    <col min="9735" max="9735" width="10" style="261" customWidth="1"/>
    <col min="9736" max="9736" width="11.125" style="261" bestFit="1" customWidth="1"/>
    <col min="9737" max="9983" width="9" style="261"/>
    <col min="9984" max="9984" width="4.125" style="261" customWidth="1"/>
    <col min="9985" max="9985" width="8.375" style="261" customWidth="1"/>
    <col min="9986" max="9986" width="12.5" style="261" customWidth="1"/>
    <col min="9987" max="9987" width="8.375" style="261" customWidth="1"/>
    <col min="9988" max="9988" width="20" style="261" customWidth="1"/>
    <col min="9989" max="9989" width="33.375" style="261" customWidth="1"/>
    <col min="9990" max="9990" width="13.375" style="261" customWidth="1"/>
    <col min="9991" max="9991" width="10" style="261" customWidth="1"/>
    <col min="9992" max="9992" width="11.125" style="261" bestFit="1" customWidth="1"/>
    <col min="9993" max="10239" width="9" style="261"/>
    <col min="10240" max="10240" width="4.125" style="261" customWidth="1"/>
    <col min="10241" max="10241" width="8.375" style="261" customWidth="1"/>
    <col min="10242" max="10242" width="12.5" style="261" customWidth="1"/>
    <col min="10243" max="10243" width="8.375" style="261" customWidth="1"/>
    <col min="10244" max="10244" width="20" style="261" customWidth="1"/>
    <col min="10245" max="10245" width="33.375" style="261" customWidth="1"/>
    <col min="10246" max="10246" width="13.375" style="261" customWidth="1"/>
    <col min="10247" max="10247" width="10" style="261" customWidth="1"/>
    <col min="10248" max="10248" width="11.125" style="261" bestFit="1" customWidth="1"/>
    <col min="10249" max="10495" width="9" style="261"/>
    <col min="10496" max="10496" width="4.125" style="261" customWidth="1"/>
    <col min="10497" max="10497" width="8.375" style="261" customWidth="1"/>
    <col min="10498" max="10498" width="12.5" style="261" customWidth="1"/>
    <col min="10499" max="10499" width="8.375" style="261" customWidth="1"/>
    <col min="10500" max="10500" width="20" style="261" customWidth="1"/>
    <col min="10501" max="10501" width="33.375" style="261" customWidth="1"/>
    <col min="10502" max="10502" width="13.375" style="261" customWidth="1"/>
    <col min="10503" max="10503" width="10" style="261" customWidth="1"/>
    <col min="10504" max="10504" width="11.125" style="261" bestFit="1" customWidth="1"/>
    <col min="10505" max="10751" width="9" style="261"/>
    <col min="10752" max="10752" width="4.125" style="261" customWidth="1"/>
    <col min="10753" max="10753" width="8.375" style="261" customWidth="1"/>
    <col min="10754" max="10754" width="12.5" style="261" customWidth="1"/>
    <col min="10755" max="10755" width="8.375" style="261" customWidth="1"/>
    <col min="10756" max="10756" width="20" style="261" customWidth="1"/>
    <col min="10757" max="10757" width="33.375" style="261" customWidth="1"/>
    <col min="10758" max="10758" width="13.375" style="261" customWidth="1"/>
    <col min="10759" max="10759" width="10" style="261" customWidth="1"/>
    <col min="10760" max="10760" width="11.125" style="261" bestFit="1" customWidth="1"/>
    <col min="10761" max="11007" width="9" style="261"/>
    <col min="11008" max="11008" width="4.125" style="261" customWidth="1"/>
    <col min="11009" max="11009" width="8.375" style="261" customWidth="1"/>
    <col min="11010" max="11010" width="12.5" style="261" customWidth="1"/>
    <col min="11011" max="11011" width="8.375" style="261" customWidth="1"/>
    <col min="11012" max="11012" width="20" style="261" customWidth="1"/>
    <col min="11013" max="11013" width="33.375" style="261" customWidth="1"/>
    <col min="11014" max="11014" width="13.375" style="261" customWidth="1"/>
    <col min="11015" max="11015" width="10" style="261" customWidth="1"/>
    <col min="11016" max="11016" width="11.125" style="261" bestFit="1" customWidth="1"/>
    <col min="11017" max="11263" width="9" style="261"/>
    <col min="11264" max="11264" width="4.125" style="261" customWidth="1"/>
    <col min="11265" max="11265" width="8.375" style="261" customWidth="1"/>
    <col min="11266" max="11266" width="12.5" style="261" customWidth="1"/>
    <col min="11267" max="11267" width="8.375" style="261" customWidth="1"/>
    <col min="11268" max="11268" width="20" style="261" customWidth="1"/>
    <col min="11269" max="11269" width="33.375" style="261" customWidth="1"/>
    <col min="11270" max="11270" width="13.375" style="261" customWidth="1"/>
    <col min="11271" max="11271" width="10" style="261" customWidth="1"/>
    <col min="11272" max="11272" width="11.125" style="261" bestFit="1" customWidth="1"/>
    <col min="11273" max="11519" width="9" style="261"/>
    <col min="11520" max="11520" width="4.125" style="261" customWidth="1"/>
    <col min="11521" max="11521" width="8.375" style="261" customWidth="1"/>
    <col min="11522" max="11522" width="12.5" style="261" customWidth="1"/>
    <col min="11523" max="11523" width="8.375" style="261" customWidth="1"/>
    <col min="11524" max="11524" width="20" style="261" customWidth="1"/>
    <col min="11525" max="11525" width="33.375" style="261" customWidth="1"/>
    <col min="11526" max="11526" width="13.375" style="261" customWidth="1"/>
    <col min="11527" max="11527" width="10" style="261" customWidth="1"/>
    <col min="11528" max="11528" width="11.125" style="261" bestFit="1" customWidth="1"/>
    <col min="11529" max="11775" width="9" style="261"/>
    <col min="11776" max="11776" width="4.125" style="261" customWidth="1"/>
    <col min="11777" max="11777" width="8.375" style="261" customWidth="1"/>
    <col min="11778" max="11778" width="12.5" style="261" customWidth="1"/>
    <col min="11779" max="11779" width="8.375" style="261" customWidth="1"/>
    <col min="11780" max="11780" width="20" style="261" customWidth="1"/>
    <col min="11781" max="11781" width="33.375" style="261" customWidth="1"/>
    <col min="11782" max="11782" width="13.375" style="261" customWidth="1"/>
    <col min="11783" max="11783" width="10" style="261" customWidth="1"/>
    <col min="11784" max="11784" width="11.125" style="261" bestFit="1" customWidth="1"/>
    <col min="11785" max="12031" width="9" style="261"/>
    <col min="12032" max="12032" width="4.125" style="261" customWidth="1"/>
    <col min="12033" max="12033" width="8.375" style="261" customWidth="1"/>
    <col min="12034" max="12034" width="12.5" style="261" customWidth="1"/>
    <col min="12035" max="12035" width="8.375" style="261" customWidth="1"/>
    <col min="12036" max="12036" width="20" style="261" customWidth="1"/>
    <col min="12037" max="12037" width="33.375" style="261" customWidth="1"/>
    <col min="12038" max="12038" width="13.375" style="261" customWidth="1"/>
    <col min="12039" max="12039" width="10" style="261" customWidth="1"/>
    <col min="12040" max="12040" width="11.125" style="261" bestFit="1" customWidth="1"/>
    <col min="12041" max="12287" width="9" style="261"/>
    <col min="12288" max="12288" width="4.125" style="261" customWidth="1"/>
    <col min="12289" max="12289" width="8.375" style="261" customWidth="1"/>
    <col min="12290" max="12290" width="12.5" style="261" customWidth="1"/>
    <col min="12291" max="12291" width="8.375" style="261" customWidth="1"/>
    <col min="12292" max="12292" width="20" style="261" customWidth="1"/>
    <col min="12293" max="12293" width="33.375" style="261" customWidth="1"/>
    <col min="12294" max="12294" width="13.375" style="261" customWidth="1"/>
    <col min="12295" max="12295" width="10" style="261" customWidth="1"/>
    <col min="12296" max="12296" width="11.125" style="261" bestFit="1" customWidth="1"/>
    <col min="12297" max="12543" width="9" style="261"/>
    <col min="12544" max="12544" width="4.125" style="261" customWidth="1"/>
    <col min="12545" max="12545" width="8.375" style="261" customWidth="1"/>
    <col min="12546" max="12546" width="12.5" style="261" customWidth="1"/>
    <col min="12547" max="12547" width="8.375" style="261" customWidth="1"/>
    <col min="12548" max="12548" width="20" style="261" customWidth="1"/>
    <col min="12549" max="12549" width="33.375" style="261" customWidth="1"/>
    <col min="12550" max="12550" width="13.375" style="261" customWidth="1"/>
    <col min="12551" max="12551" width="10" style="261" customWidth="1"/>
    <col min="12552" max="12552" width="11.125" style="261" bestFit="1" customWidth="1"/>
    <col min="12553" max="12799" width="9" style="261"/>
    <col min="12800" max="12800" width="4.125" style="261" customWidth="1"/>
    <col min="12801" max="12801" width="8.375" style="261" customWidth="1"/>
    <col min="12802" max="12802" width="12.5" style="261" customWidth="1"/>
    <col min="12803" max="12803" width="8.375" style="261" customWidth="1"/>
    <col min="12804" max="12804" width="20" style="261" customWidth="1"/>
    <col min="12805" max="12805" width="33.375" style="261" customWidth="1"/>
    <col min="12806" max="12806" width="13.375" style="261" customWidth="1"/>
    <col min="12807" max="12807" width="10" style="261" customWidth="1"/>
    <col min="12808" max="12808" width="11.125" style="261" bestFit="1" customWidth="1"/>
    <col min="12809" max="13055" width="9" style="261"/>
    <col min="13056" max="13056" width="4.125" style="261" customWidth="1"/>
    <col min="13057" max="13057" width="8.375" style="261" customWidth="1"/>
    <col min="13058" max="13058" width="12.5" style="261" customWidth="1"/>
    <col min="13059" max="13059" width="8.375" style="261" customWidth="1"/>
    <col min="13060" max="13060" width="20" style="261" customWidth="1"/>
    <col min="13061" max="13061" width="33.375" style="261" customWidth="1"/>
    <col min="13062" max="13062" width="13.375" style="261" customWidth="1"/>
    <col min="13063" max="13063" width="10" style="261" customWidth="1"/>
    <col min="13064" max="13064" width="11.125" style="261" bestFit="1" customWidth="1"/>
    <col min="13065" max="13311" width="9" style="261"/>
    <col min="13312" max="13312" width="4.125" style="261" customWidth="1"/>
    <col min="13313" max="13313" width="8.375" style="261" customWidth="1"/>
    <col min="13314" max="13314" width="12.5" style="261" customWidth="1"/>
    <col min="13315" max="13315" width="8.375" style="261" customWidth="1"/>
    <col min="13316" max="13316" width="20" style="261" customWidth="1"/>
    <col min="13317" max="13317" width="33.375" style="261" customWidth="1"/>
    <col min="13318" max="13318" width="13.375" style="261" customWidth="1"/>
    <col min="13319" max="13319" width="10" style="261" customWidth="1"/>
    <col min="13320" max="13320" width="11.125" style="261" bestFit="1" customWidth="1"/>
    <col min="13321" max="13567" width="9" style="261"/>
    <col min="13568" max="13568" width="4.125" style="261" customWidth="1"/>
    <col min="13569" max="13569" width="8.375" style="261" customWidth="1"/>
    <col min="13570" max="13570" width="12.5" style="261" customWidth="1"/>
    <col min="13571" max="13571" width="8.375" style="261" customWidth="1"/>
    <col min="13572" max="13572" width="20" style="261" customWidth="1"/>
    <col min="13573" max="13573" width="33.375" style="261" customWidth="1"/>
    <col min="13574" max="13574" width="13.375" style="261" customWidth="1"/>
    <col min="13575" max="13575" width="10" style="261" customWidth="1"/>
    <col min="13576" max="13576" width="11.125" style="261" bestFit="1" customWidth="1"/>
    <col min="13577" max="13823" width="9" style="261"/>
    <col min="13824" max="13824" width="4.125" style="261" customWidth="1"/>
    <col min="13825" max="13825" width="8.375" style="261" customWidth="1"/>
    <col min="13826" max="13826" width="12.5" style="261" customWidth="1"/>
    <col min="13827" max="13827" width="8.375" style="261" customWidth="1"/>
    <col min="13828" max="13828" width="20" style="261" customWidth="1"/>
    <col min="13829" max="13829" width="33.375" style="261" customWidth="1"/>
    <col min="13830" max="13830" width="13.375" style="261" customWidth="1"/>
    <col min="13831" max="13831" width="10" style="261" customWidth="1"/>
    <col min="13832" max="13832" width="11.125" style="261" bestFit="1" customWidth="1"/>
    <col min="13833" max="14079" width="9" style="261"/>
    <col min="14080" max="14080" width="4.125" style="261" customWidth="1"/>
    <col min="14081" max="14081" width="8.375" style="261" customWidth="1"/>
    <col min="14082" max="14082" width="12.5" style="261" customWidth="1"/>
    <col min="14083" max="14083" width="8.375" style="261" customWidth="1"/>
    <col min="14084" max="14084" width="20" style="261" customWidth="1"/>
    <col min="14085" max="14085" width="33.375" style="261" customWidth="1"/>
    <col min="14086" max="14086" width="13.375" style="261" customWidth="1"/>
    <col min="14087" max="14087" width="10" style="261" customWidth="1"/>
    <col min="14088" max="14088" width="11.125" style="261" bestFit="1" customWidth="1"/>
    <col min="14089" max="14335" width="9" style="261"/>
    <col min="14336" max="14336" width="4.125" style="261" customWidth="1"/>
    <col min="14337" max="14337" width="8.375" style="261" customWidth="1"/>
    <col min="14338" max="14338" width="12.5" style="261" customWidth="1"/>
    <col min="14339" max="14339" width="8.375" style="261" customWidth="1"/>
    <col min="14340" max="14340" width="20" style="261" customWidth="1"/>
    <col min="14341" max="14341" width="33.375" style="261" customWidth="1"/>
    <col min="14342" max="14342" width="13.375" style="261" customWidth="1"/>
    <col min="14343" max="14343" width="10" style="261" customWidth="1"/>
    <col min="14344" max="14344" width="11.125" style="261" bestFit="1" customWidth="1"/>
    <col min="14345" max="14591" width="9" style="261"/>
    <col min="14592" max="14592" width="4.125" style="261" customWidth="1"/>
    <col min="14593" max="14593" width="8.375" style="261" customWidth="1"/>
    <col min="14594" max="14594" width="12.5" style="261" customWidth="1"/>
    <col min="14595" max="14595" width="8.375" style="261" customWidth="1"/>
    <col min="14596" max="14596" width="20" style="261" customWidth="1"/>
    <col min="14597" max="14597" width="33.375" style="261" customWidth="1"/>
    <col min="14598" max="14598" width="13.375" style="261" customWidth="1"/>
    <col min="14599" max="14599" width="10" style="261" customWidth="1"/>
    <col min="14600" max="14600" width="11.125" style="261" bestFit="1" customWidth="1"/>
    <col min="14601" max="14847" width="9" style="261"/>
    <col min="14848" max="14848" width="4.125" style="261" customWidth="1"/>
    <col min="14849" max="14849" width="8.375" style="261" customWidth="1"/>
    <col min="14850" max="14850" width="12.5" style="261" customWidth="1"/>
    <col min="14851" max="14851" width="8.375" style="261" customWidth="1"/>
    <col min="14852" max="14852" width="20" style="261" customWidth="1"/>
    <col min="14853" max="14853" width="33.375" style="261" customWidth="1"/>
    <col min="14854" max="14854" width="13.375" style="261" customWidth="1"/>
    <col min="14855" max="14855" width="10" style="261" customWidth="1"/>
    <col min="14856" max="14856" width="11.125" style="261" bestFit="1" customWidth="1"/>
    <col min="14857" max="15103" width="9" style="261"/>
    <col min="15104" max="15104" width="4.125" style="261" customWidth="1"/>
    <col min="15105" max="15105" width="8.375" style="261" customWidth="1"/>
    <col min="15106" max="15106" width="12.5" style="261" customWidth="1"/>
    <col min="15107" max="15107" width="8.375" style="261" customWidth="1"/>
    <col min="15108" max="15108" width="20" style="261" customWidth="1"/>
    <col min="15109" max="15109" width="33.375" style="261" customWidth="1"/>
    <col min="15110" max="15110" width="13.375" style="261" customWidth="1"/>
    <col min="15111" max="15111" width="10" style="261" customWidth="1"/>
    <col min="15112" max="15112" width="11.125" style="261" bestFit="1" customWidth="1"/>
    <col min="15113" max="15359" width="9" style="261"/>
    <col min="15360" max="15360" width="4.125" style="261" customWidth="1"/>
    <col min="15361" max="15361" width="8.375" style="261" customWidth="1"/>
    <col min="15362" max="15362" width="12.5" style="261" customWidth="1"/>
    <col min="15363" max="15363" width="8.375" style="261" customWidth="1"/>
    <col min="15364" max="15364" width="20" style="261" customWidth="1"/>
    <col min="15365" max="15365" width="33.375" style="261" customWidth="1"/>
    <col min="15366" max="15366" width="13.375" style="261" customWidth="1"/>
    <col min="15367" max="15367" width="10" style="261" customWidth="1"/>
    <col min="15368" max="15368" width="11.125" style="261" bestFit="1" customWidth="1"/>
    <col min="15369" max="15615" width="9" style="261"/>
    <col min="15616" max="15616" width="4.125" style="261" customWidth="1"/>
    <col min="15617" max="15617" width="8.375" style="261" customWidth="1"/>
    <col min="15618" max="15618" width="12.5" style="261" customWidth="1"/>
    <col min="15619" max="15619" width="8.375" style="261" customWidth="1"/>
    <col min="15620" max="15620" width="20" style="261" customWidth="1"/>
    <col min="15621" max="15621" width="33.375" style="261" customWidth="1"/>
    <col min="15622" max="15622" width="13.375" style="261" customWidth="1"/>
    <col min="15623" max="15623" width="10" style="261" customWidth="1"/>
    <col min="15624" max="15624" width="11.125" style="261" bestFit="1" customWidth="1"/>
    <col min="15625" max="15871" width="9" style="261"/>
    <col min="15872" max="15872" width="4.125" style="261" customWidth="1"/>
    <col min="15873" max="15873" width="8.375" style="261" customWidth="1"/>
    <col min="15874" max="15874" width="12.5" style="261" customWidth="1"/>
    <col min="15875" max="15875" width="8.375" style="261" customWidth="1"/>
    <col min="15876" max="15876" width="20" style="261" customWidth="1"/>
    <col min="15877" max="15877" width="33.375" style="261" customWidth="1"/>
    <col min="15878" max="15878" width="13.375" style="261" customWidth="1"/>
    <col min="15879" max="15879" width="10" style="261" customWidth="1"/>
    <col min="15880" max="15880" width="11.125" style="261" bestFit="1" customWidth="1"/>
    <col min="15881" max="16127" width="9" style="261"/>
    <col min="16128" max="16128" width="4.125" style="261" customWidth="1"/>
    <col min="16129" max="16129" width="8.375" style="261" customWidth="1"/>
    <col min="16130" max="16130" width="12.5" style="261" customWidth="1"/>
    <col min="16131" max="16131" width="8.375" style="261" customWidth="1"/>
    <col min="16132" max="16132" width="20" style="261" customWidth="1"/>
    <col min="16133" max="16133" width="33.375" style="261" customWidth="1"/>
    <col min="16134" max="16134" width="13.375" style="261" customWidth="1"/>
    <col min="16135" max="16135" width="10" style="261" customWidth="1"/>
    <col min="16136" max="16136" width="11.125" style="261" bestFit="1" customWidth="1"/>
    <col min="16137" max="16384" width="9" style="261"/>
  </cols>
  <sheetData>
    <row r="1" spans="1:7" ht="25.5">
      <c r="A1" s="515" t="s">
        <v>156</v>
      </c>
      <c r="B1" s="515"/>
      <c r="C1" s="515"/>
      <c r="D1" s="515"/>
      <c r="E1" s="515"/>
      <c r="F1" s="515"/>
      <c r="G1" s="515"/>
    </row>
    <row r="2" spans="1:7" ht="21">
      <c r="A2" s="516" t="s">
        <v>539</v>
      </c>
      <c r="B2" s="517"/>
      <c r="C2" s="517"/>
      <c r="D2" s="517"/>
      <c r="E2" s="517"/>
      <c r="F2" s="517"/>
      <c r="G2" s="517"/>
    </row>
    <row r="3" spans="1:7" ht="20.25">
      <c r="A3" s="518" t="s">
        <v>509</v>
      </c>
      <c r="B3" s="518"/>
      <c r="C3" s="518"/>
      <c r="D3" s="518"/>
      <c r="E3" s="518"/>
      <c r="F3" s="518"/>
      <c r="G3" s="518"/>
    </row>
    <row r="4" spans="1:7" ht="20.25">
      <c r="A4" s="519" t="s">
        <v>508</v>
      </c>
      <c r="B4" s="520"/>
      <c r="C4" s="520"/>
      <c r="D4" s="520"/>
      <c r="E4" s="520"/>
      <c r="F4" s="520"/>
      <c r="G4" s="520"/>
    </row>
    <row r="5" spans="1:7" ht="19.5">
      <c r="A5" s="261" t="s">
        <v>510</v>
      </c>
      <c r="B5" s="262" t="s">
        <v>511</v>
      </c>
      <c r="C5" s="262"/>
    </row>
    <row r="6" spans="1:7" ht="19.5">
      <c r="A6" s="261" t="s">
        <v>512</v>
      </c>
      <c r="B6" s="262" t="s">
        <v>533</v>
      </c>
      <c r="C6" s="262"/>
    </row>
    <row r="7" spans="1:7" ht="19.5">
      <c r="A7" s="261" t="s">
        <v>513</v>
      </c>
      <c r="B7" s="262" t="s">
        <v>514</v>
      </c>
      <c r="C7" s="262"/>
    </row>
    <row r="8" spans="1:7" ht="19.5">
      <c r="A8" s="261" t="s">
        <v>515</v>
      </c>
      <c r="B8" s="262" t="s">
        <v>517</v>
      </c>
      <c r="C8" s="262"/>
    </row>
    <row r="9" spans="1:7" ht="19.5">
      <c r="A9" s="261" t="s">
        <v>518</v>
      </c>
      <c r="B9" s="262" t="s">
        <v>534</v>
      </c>
      <c r="C9" s="262"/>
    </row>
    <row r="10" spans="1:7" ht="19.5">
      <c r="A10" s="261" t="s">
        <v>519</v>
      </c>
      <c r="B10" s="262" t="s">
        <v>524</v>
      </c>
      <c r="C10" s="262"/>
    </row>
    <row r="11" spans="1:7" ht="19.5">
      <c r="A11" s="261" t="s">
        <v>520</v>
      </c>
      <c r="B11" s="262" t="s">
        <v>523</v>
      </c>
      <c r="C11" s="262"/>
    </row>
    <row r="12" spans="1:7" ht="19.5">
      <c r="A12" s="261" t="s">
        <v>521</v>
      </c>
      <c r="B12" s="262" t="s">
        <v>525</v>
      </c>
      <c r="C12" s="262"/>
    </row>
    <row r="13" spans="1:7" ht="19.5">
      <c r="A13" s="261" t="s">
        <v>522</v>
      </c>
      <c r="B13" s="262" t="s">
        <v>535</v>
      </c>
      <c r="C13" s="262"/>
    </row>
    <row r="14" spans="1:7" ht="20.25">
      <c r="A14" s="520" t="s">
        <v>516</v>
      </c>
      <c r="B14" s="520"/>
      <c r="C14" s="520"/>
      <c r="D14" s="520"/>
      <c r="E14" s="520"/>
      <c r="F14" s="520"/>
      <c r="G14" s="520"/>
    </row>
    <row r="15" spans="1:7" ht="33">
      <c r="A15" s="263" t="s">
        <v>526</v>
      </c>
      <c r="B15" s="367" t="s">
        <v>1325</v>
      </c>
      <c r="C15" s="366" t="s">
        <v>1011</v>
      </c>
      <c r="D15" s="366" t="s">
        <v>1012</v>
      </c>
      <c r="E15" s="366" t="s">
        <v>1013</v>
      </c>
      <c r="F15" s="367" t="s">
        <v>1014</v>
      </c>
      <c r="G15" s="366" t="s">
        <v>1015</v>
      </c>
    </row>
    <row r="16" spans="1:7" ht="18.75" customHeight="1">
      <c r="A16" s="521" t="s">
        <v>527</v>
      </c>
      <c r="B16" s="522" t="s">
        <v>1024</v>
      </c>
      <c r="C16" s="535" t="s">
        <v>1324</v>
      </c>
      <c r="D16" s="523" t="s">
        <v>1024</v>
      </c>
      <c r="E16" s="534" t="s">
        <v>1025</v>
      </c>
      <c r="F16" s="524" t="s">
        <v>1018</v>
      </c>
      <c r="G16" s="524" t="s">
        <v>1016</v>
      </c>
    </row>
    <row r="17" spans="1:7" ht="18.75" customHeight="1">
      <c r="A17" s="521"/>
      <c r="B17" s="522"/>
      <c r="C17" s="536"/>
      <c r="D17" s="523"/>
      <c r="E17" s="526"/>
      <c r="F17" s="524"/>
      <c r="G17" s="524"/>
    </row>
    <row r="18" spans="1:7">
      <c r="A18" s="521"/>
      <c r="B18" s="522"/>
      <c r="C18" s="536"/>
      <c r="D18" s="523"/>
      <c r="E18" s="526"/>
      <c r="F18" s="524"/>
      <c r="G18" s="524"/>
    </row>
    <row r="19" spans="1:7" ht="18.75" customHeight="1">
      <c r="A19" s="521"/>
      <c r="B19" s="522"/>
      <c r="C19" s="536"/>
      <c r="D19" s="523"/>
      <c r="E19" s="526"/>
      <c r="F19" s="524"/>
      <c r="G19" s="524"/>
    </row>
    <row r="20" spans="1:7" ht="2.1" customHeight="1">
      <c r="A20" s="521"/>
      <c r="B20" s="522"/>
      <c r="C20" s="537"/>
      <c r="D20" s="523"/>
      <c r="E20" s="527"/>
      <c r="F20" s="524"/>
      <c r="G20" s="524"/>
    </row>
    <row r="21" spans="1:7">
      <c r="A21" s="521" t="s">
        <v>528</v>
      </c>
      <c r="B21" s="522" t="s">
        <v>1026</v>
      </c>
      <c r="C21" s="535" t="s">
        <v>1031</v>
      </c>
      <c r="D21" s="523" t="s">
        <v>1027</v>
      </c>
      <c r="E21" s="534" t="s">
        <v>1214</v>
      </c>
      <c r="F21" s="524" t="s">
        <v>1017</v>
      </c>
      <c r="G21" s="524" t="s">
        <v>536</v>
      </c>
    </row>
    <row r="22" spans="1:7" ht="7.5" customHeight="1">
      <c r="A22" s="521"/>
      <c r="B22" s="522"/>
      <c r="C22" s="536"/>
      <c r="D22" s="523"/>
      <c r="E22" s="526"/>
      <c r="F22" s="524"/>
      <c r="G22" s="524"/>
    </row>
    <row r="23" spans="1:7" ht="18.75" customHeight="1">
      <c r="A23" s="521"/>
      <c r="B23" s="522"/>
      <c r="C23" s="536"/>
      <c r="D23" s="523"/>
      <c r="E23" s="526"/>
      <c r="F23" s="524"/>
      <c r="G23" s="524"/>
    </row>
    <row r="24" spans="1:7">
      <c r="A24" s="521"/>
      <c r="B24" s="522"/>
      <c r="C24" s="536"/>
      <c r="D24" s="523"/>
      <c r="E24" s="526"/>
      <c r="F24" s="524"/>
      <c r="G24" s="524"/>
    </row>
    <row r="25" spans="1:7">
      <c r="A25" s="521"/>
      <c r="B25" s="522"/>
      <c r="C25" s="536"/>
      <c r="D25" s="523"/>
      <c r="E25" s="526"/>
      <c r="F25" s="524"/>
      <c r="G25" s="524"/>
    </row>
    <row r="26" spans="1:7">
      <c r="A26" s="521"/>
      <c r="B26" s="522"/>
      <c r="C26" s="536"/>
      <c r="D26" s="523"/>
      <c r="E26" s="526"/>
      <c r="F26" s="524"/>
      <c r="G26" s="524"/>
    </row>
    <row r="27" spans="1:7" ht="8.1" customHeight="1">
      <c r="A27" s="521"/>
      <c r="B27" s="522"/>
      <c r="C27" s="536"/>
      <c r="D27" s="523"/>
      <c r="E27" s="526"/>
      <c r="F27" s="524"/>
      <c r="G27" s="524"/>
    </row>
    <row r="28" spans="1:7" ht="13.5" hidden="1" customHeight="1">
      <c r="A28" s="521"/>
      <c r="B28" s="522"/>
      <c r="C28" s="536"/>
      <c r="D28" s="523"/>
      <c r="E28" s="526"/>
      <c r="F28" s="524"/>
      <c r="G28" s="524"/>
    </row>
    <row r="29" spans="1:7" ht="17.100000000000001" hidden="1" customHeight="1">
      <c r="A29" s="521"/>
      <c r="B29" s="522"/>
      <c r="C29" s="537"/>
      <c r="D29" s="523"/>
      <c r="E29" s="527"/>
      <c r="F29" s="524"/>
      <c r="G29" s="524"/>
    </row>
    <row r="30" spans="1:7">
      <c r="A30" s="521" t="s">
        <v>120</v>
      </c>
      <c r="B30" s="522" t="s">
        <v>1029</v>
      </c>
      <c r="C30" s="522" t="s">
        <v>1030</v>
      </c>
      <c r="D30" s="523" t="s">
        <v>1029</v>
      </c>
      <c r="E30" s="525" t="s">
        <v>1215</v>
      </c>
      <c r="F30" s="524" t="s">
        <v>1019</v>
      </c>
      <c r="G30" s="524" t="s">
        <v>536</v>
      </c>
    </row>
    <row r="31" spans="1:7">
      <c r="A31" s="521"/>
      <c r="B31" s="522"/>
      <c r="C31" s="522"/>
      <c r="D31" s="523"/>
      <c r="E31" s="526"/>
      <c r="F31" s="524"/>
      <c r="G31" s="524"/>
    </row>
    <row r="32" spans="1:7">
      <c r="A32" s="521"/>
      <c r="B32" s="522"/>
      <c r="C32" s="522"/>
      <c r="D32" s="523"/>
      <c r="E32" s="526"/>
      <c r="F32" s="524"/>
      <c r="G32" s="524"/>
    </row>
    <row r="33" spans="1:7" ht="47.1" customHeight="1">
      <c r="A33" s="521"/>
      <c r="B33" s="522"/>
      <c r="C33" s="522"/>
      <c r="D33" s="523"/>
      <c r="E33" s="527"/>
      <c r="F33" s="524"/>
      <c r="G33" s="524"/>
    </row>
    <row r="34" spans="1:7" ht="39.75" customHeight="1">
      <c r="A34" s="521" t="s">
        <v>1038</v>
      </c>
      <c r="B34" s="522" t="s">
        <v>1032</v>
      </c>
      <c r="C34" s="522" t="s">
        <v>1034</v>
      </c>
      <c r="D34" s="523" t="s">
        <v>1033</v>
      </c>
      <c r="E34" s="525" t="s">
        <v>1216</v>
      </c>
      <c r="F34" s="524" t="s">
        <v>1017</v>
      </c>
      <c r="G34" s="524" t="s">
        <v>536</v>
      </c>
    </row>
    <row r="35" spans="1:7" ht="16.5" customHeight="1">
      <c r="A35" s="521"/>
      <c r="B35" s="522"/>
      <c r="C35" s="522"/>
      <c r="D35" s="523"/>
      <c r="E35" s="526"/>
      <c r="F35" s="524"/>
      <c r="G35" s="524"/>
    </row>
    <row r="36" spans="1:7" ht="37.5" customHeight="1">
      <c r="A36" s="521"/>
      <c r="B36" s="522"/>
      <c r="C36" s="522"/>
      <c r="D36" s="523"/>
      <c r="E36" s="527"/>
      <c r="F36" s="524"/>
      <c r="G36" s="524"/>
    </row>
    <row r="37" spans="1:7" ht="16.5" customHeight="1">
      <c r="A37" s="521" t="s">
        <v>1037</v>
      </c>
      <c r="B37" s="522" t="s">
        <v>1042</v>
      </c>
      <c r="C37" s="522" t="s">
        <v>1043</v>
      </c>
      <c r="D37" s="523" t="s">
        <v>1042</v>
      </c>
      <c r="E37" s="351"/>
      <c r="F37" s="524" t="s">
        <v>1020</v>
      </c>
      <c r="G37" s="524" t="s">
        <v>1023</v>
      </c>
    </row>
    <row r="38" spans="1:7" ht="16.5" customHeight="1">
      <c r="A38" s="521"/>
      <c r="B38" s="522"/>
      <c r="C38" s="522"/>
      <c r="D38" s="523"/>
      <c r="E38" s="268" t="s">
        <v>537</v>
      </c>
      <c r="F38" s="524"/>
      <c r="G38" s="524"/>
    </row>
    <row r="39" spans="1:7" ht="16.5" customHeight="1">
      <c r="A39" s="521"/>
      <c r="B39" s="522"/>
      <c r="C39" s="522"/>
      <c r="D39" s="523"/>
      <c r="E39" s="267" t="s">
        <v>1217</v>
      </c>
      <c r="F39" s="524"/>
      <c r="G39" s="524"/>
    </row>
    <row r="40" spans="1:7" ht="16.5" customHeight="1">
      <c r="A40" s="521"/>
      <c r="B40" s="522"/>
      <c r="C40" s="522"/>
      <c r="D40" s="523"/>
      <c r="E40" s="267" t="s">
        <v>1218</v>
      </c>
      <c r="F40" s="524"/>
      <c r="G40" s="524"/>
    </row>
    <row r="41" spans="1:7" ht="17.25" customHeight="1">
      <c r="A41" s="521"/>
      <c r="B41" s="522"/>
      <c r="C41" s="522"/>
      <c r="D41" s="523"/>
      <c r="E41" s="267"/>
      <c r="F41" s="524"/>
      <c r="G41" s="524"/>
    </row>
    <row r="42" spans="1:7" ht="18.75">
      <c r="A42" s="521"/>
      <c r="B42" s="522"/>
      <c r="C42" s="522"/>
      <c r="D42" s="523"/>
      <c r="E42" s="268" t="s">
        <v>538</v>
      </c>
      <c r="F42" s="524"/>
      <c r="G42" s="524"/>
    </row>
    <row r="43" spans="1:7" ht="18.75">
      <c r="A43" s="521"/>
      <c r="B43" s="522"/>
      <c r="C43" s="522"/>
      <c r="D43" s="523"/>
      <c r="E43" s="267" t="s">
        <v>1219</v>
      </c>
      <c r="F43" s="524"/>
      <c r="G43" s="524"/>
    </row>
    <row r="44" spans="1:7" ht="18.75">
      <c r="A44" s="521"/>
      <c r="B44" s="522"/>
      <c r="C44" s="522"/>
      <c r="D44" s="523"/>
      <c r="E44" s="267" t="s">
        <v>1218</v>
      </c>
      <c r="F44" s="524"/>
      <c r="G44" s="524"/>
    </row>
    <row r="45" spans="1:7" ht="18.75">
      <c r="A45" s="521"/>
      <c r="B45" s="522"/>
      <c r="C45" s="522"/>
      <c r="D45" s="523"/>
      <c r="E45" s="267"/>
      <c r="F45" s="524"/>
      <c r="G45" s="524"/>
    </row>
    <row r="46" spans="1:7" ht="18.75">
      <c r="A46" s="521" t="s">
        <v>1036</v>
      </c>
      <c r="B46" s="522" t="s">
        <v>1044</v>
      </c>
      <c r="C46" s="522" t="s">
        <v>1045</v>
      </c>
      <c r="D46" s="523" t="s">
        <v>1044</v>
      </c>
      <c r="E46" s="266" t="s">
        <v>1220</v>
      </c>
      <c r="F46" s="524" t="s">
        <v>1020</v>
      </c>
      <c r="G46" s="524" t="s">
        <v>1022</v>
      </c>
    </row>
    <row r="47" spans="1:7" ht="18.75">
      <c r="A47" s="521"/>
      <c r="B47" s="522"/>
      <c r="C47" s="522"/>
      <c r="D47" s="523"/>
      <c r="E47" s="267" t="s">
        <v>1221</v>
      </c>
      <c r="F47" s="524"/>
      <c r="G47" s="524"/>
    </row>
    <row r="48" spans="1:7" ht="18.75">
      <c r="A48" s="521"/>
      <c r="B48" s="522"/>
      <c r="C48" s="522"/>
      <c r="D48" s="523"/>
      <c r="E48" s="267" t="s">
        <v>1222</v>
      </c>
      <c r="F48" s="524"/>
      <c r="G48" s="524"/>
    </row>
    <row r="49" spans="1:7" ht="18.75">
      <c r="A49" s="521"/>
      <c r="B49" s="522"/>
      <c r="C49" s="522"/>
      <c r="D49" s="523"/>
      <c r="E49" s="267" t="s">
        <v>1223</v>
      </c>
      <c r="F49" s="524"/>
      <c r="G49" s="524"/>
    </row>
    <row r="50" spans="1:7" ht="18.75">
      <c r="A50" s="521"/>
      <c r="B50" s="522"/>
      <c r="C50" s="522"/>
      <c r="D50" s="523"/>
      <c r="E50" s="267" t="s">
        <v>1224</v>
      </c>
      <c r="F50" s="524"/>
      <c r="G50" s="524"/>
    </row>
    <row r="51" spans="1:7" ht="18.75">
      <c r="A51" s="521"/>
      <c r="B51" s="522"/>
      <c r="C51" s="522"/>
      <c r="D51" s="523"/>
      <c r="E51" s="267" t="s">
        <v>1225</v>
      </c>
      <c r="F51" s="524"/>
      <c r="G51" s="524"/>
    </row>
    <row r="52" spans="1:7" ht="18.75">
      <c r="A52" s="521"/>
      <c r="B52" s="522"/>
      <c r="C52" s="522"/>
      <c r="D52" s="523"/>
      <c r="E52" s="267" t="s">
        <v>1226</v>
      </c>
      <c r="F52" s="524"/>
      <c r="G52" s="524"/>
    </row>
    <row r="53" spans="1:7" ht="18.75">
      <c r="A53" s="521"/>
      <c r="B53" s="522"/>
      <c r="C53" s="522"/>
      <c r="D53" s="523"/>
      <c r="E53" s="267" t="s">
        <v>1227</v>
      </c>
      <c r="F53" s="524"/>
      <c r="G53" s="524"/>
    </row>
    <row r="54" spans="1:7" ht="18.75">
      <c r="A54" s="521"/>
      <c r="B54" s="522"/>
      <c r="C54" s="522"/>
      <c r="D54" s="523"/>
      <c r="E54" s="267" t="s">
        <v>1228</v>
      </c>
      <c r="F54" s="524"/>
      <c r="G54" s="524"/>
    </row>
    <row r="55" spans="1:7" ht="69">
      <c r="A55" s="329" t="s">
        <v>1035</v>
      </c>
      <c r="B55" s="333" t="s">
        <v>1039</v>
      </c>
      <c r="C55" s="333"/>
      <c r="D55" s="331" t="s">
        <v>1039</v>
      </c>
      <c r="E55" s="335" t="s">
        <v>1229</v>
      </c>
      <c r="F55" s="333" t="s">
        <v>1021</v>
      </c>
      <c r="G55" s="332" t="s">
        <v>1022</v>
      </c>
    </row>
    <row r="56" spans="1:7" ht="37.5" customHeight="1">
      <c r="A56" s="528" t="s">
        <v>531</v>
      </c>
      <c r="B56" s="521" t="s">
        <v>1028</v>
      </c>
      <c r="C56" s="521" t="s">
        <v>1040</v>
      </c>
      <c r="D56" s="528" t="s">
        <v>1028</v>
      </c>
      <c r="E56" s="534" t="s">
        <v>1230</v>
      </c>
      <c r="F56" s="521" t="s">
        <v>1020</v>
      </c>
      <c r="G56" s="531" t="s">
        <v>1023</v>
      </c>
    </row>
    <row r="57" spans="1:7">
      <c r="A57" s="529"/>
      <c r="B57" s="521"/>
      <c r="C57" s="521"/>
      <c r="D57" s="529"/>
      <c r="E57" s="526"/>
      <c r="F57" s="521"/>
      <c r="G57" s="532"/>
    </row>
    <row r="58" spans="1:7">
      <c r="A58" s="529"/>
      <c r="B58" s="521"/>
      <c r="C58" s="521"/>
      <c r="D58" s="529"/>
      <c r="E58" s="526"/>
      <c r="F58" s="521"/>
      <c r="G58" s="532"/>
    </row>
    <row r="59" spans="1:7">
      <c r="A59" s="529"/>
      <c r="B59" s="521"/>
      <c r="C59" s="521"/>
      <c r="D59" s="529"/>
      <c r="E59" s="526"/>
      <c r="F59" s="521"/>
      <c r="G59" s="532"/>
    </row>
    <row r="60" spans="1:7">
      <c r="A60" s="530"/>
      <c r="B60" s="521"/>
      <c r="C60" s="521"/>
      <c r="D60" s="530"/>
      <c r="E60" s="527"/>
      <c r="F60" s="521"/>
      <c r="G60" s="533"/>
    </row>
    <row r="61" spans="1:7" ht="17.100000000000001" customHeight="1"/>
  </sheetData>
  <mergeCells count="52">
    <mergeCell ref="F16:F20"/>
    <mergeCell ref="G16:G20"/>
    <mergeCell ref="F21:F29"/>
    <mergeCell ref="G21:G29"/>
    <mergeCell ref="E16:E20"/>
    <mergeCell ref="E21:E29"/>
    <mergeCell ref="A30:A33"/>
    <mergeCell ref="B30:B33"/>
    <mergeCell ref="D30:D33"/>
    <mergeCell ref="F30:F33"/>
    <mergeCell ref="G30:G33"/>
    <mergeCell ref="E30:E33"/>
    <mergeCell ref="C30:C33"/>
    <mergeCell ref="A16:A20"/>
    <mergeCell ref="B16:B20"/>
    <mergeCell ref="D16:D20"/>
    <mergeCell ref="A21:A29"/>
    <mergeCell ref="B21:B29"/>
    <mergeCell ref="D21:D29"/>
    <mergeCell ref="C16:C20"/>
    <mergeCell ref="C21:C29"/>
    <mergeCell ref="A56:A60"/>
    <mergeCell ref="B56:B60"/>
    <mergeCell ref="D56:D60"/>
    <mergeCell ref="F56:F60"/>
    <mergeCell ref="G56:G60"/>
    <mergeCell ref="C56:C60"/>
    <mergeCell ref="E56:E60"/>
    <mergeCell ref="A46:A54"/>
    <mergeCell ref="B46:B54"/>
    <mergeCell ref="D46:D54"/>
    <mergeCell ref="F46:F54"/>
    <mergeCell ref="G46:G54"/>
    <mergeCell ref="C46:C54"/>
    <mergeCell ref="A34:A36"/>
    <mergeCell ref="B34:B36"/>
    <mergeCell ref="D34:D36"/>
    <mergeCell ref="F34:F36"/>
    <mergeCell ref="G34:G36"/>
    <mergeCell ref="E34:E36"/>
    <mergeCell ref="C34:C36"/>
    <mergeCell ref="A37:A45"/>
    <mergeCell ref="B37:B45"/>
    <mergeCell ref="D37:D45"/>
    <mergeCell ref="F37:F45"/>
    <mergeCell ref="G37:G45"/>
    <mergeCell ref="C37:C45"/>
    <mergeCell ref="A1:G1"/>
    <mergeCell ref="A2:G2"/>
    <mergeCell ref="A3:G3"/>
    <mergeCell ref="A4:G4"/>
    <mergeCell ref="A14:G14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rowBreaks count="1" manualBreakCount="1">
    <brk id="33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30"/>
  <sheetViews>
    <sheetView view="pageBreakPreview" topLeftCell="A4" zoomScale="85" zoomScaleNormal="55" zoomScaleSheetLayoutView="85" workbookViewId="0">
      <selection activeCell="E13" sqref="E13"/>
    </sheetView>
  </sheetViews>
  <sheetFormatPr defaultColWidth="9" defaultRowHeight="16.5"/>
  <cols>
    <col min="1" max="1" width="5.875" style="261" bestFit="1" customWidth="1"/>
    <col min="2" max="4" width="22.625" style="261" customWidth="1"/>
    <col min="5" max="5" width="55.625" style="261" customWidth="1"/>
    <col min="6" max="6" width="17.625" style="261" customWidth="1"/>
    <col min="7" max="7" width="24.625" style="261" customWidth="1"/>
    <col min="8" max="8" width="11.125" style="261" bestFit="1" customWidth="1"/>
    <col min="9" max="255" width="9" style="261"/>
    <col min="256" max="256" width="4.125" style="261" customWidth="1"/>
    <col min="257" max="257" width="8.375" style="261" customWidth="1"/>
    <col min="258" max="258" width="12.5" style="261" customWidth="1"/>
    <col min="259" max="259" width="8.375" style="261" customWidth="1"/>
    <col min="260" max="260" width="20" style="261" customWidth="1"/>
    <col min="261" max="261" width="33.375" style="261" customWidth="1"/>
    <col min="262" max="262" width="13.375" style="261" customWidth="1"/>
    <col min="263" max="263" width="10" style="261" customWidth="1"/>
    <col min="264" max="264" width="11.125" style="261" bestFit="1" customWidth="1"/>
    <col min="265" max="511" width="9" style="261"/>
    <col min="512" max="512" width="4.125" style="261" customWidth="1"/>
    <col min="513" max="513" width="8.375" style="261" customWidth="1"/>
    <col min="514" max="514" width="12.5" style="261" customWidth="1"/>
    <col min="515" max="515" width="8.375" style="261" customWidth="1"/>
    <col min="516" max="516" width="20" style="261" customWidth="1"/>
    <col min="517" max="517" width="33.375" style="261" customWidth="1"/>
    <col min="518" max="518" width="13.375" style="261" customWidth="1"/>
    <col min="519" max="519" width="10" style="261" customWidth="1"/>
    <col min="520" max="520" width="11.125" style="261" bestFit="1" customWidth="1"/>
    <col min="521" max="767" width="9" style="261"/>
    <col min="768" max="768" width="4.125" style="261" customWidth="1"/>
    <col min="769" max="769" width="8.375" style="261" customWidth="1"/>
    <col min="770" max="770" width="12.5" style="261" customWidth="1"/>
    <col min="771" max="771" width="8.375" style="261" customWidth="1"/>
    <col min="772" max="772" width="20" style="261" customWidth="1"/>
    <col min="773" max="773" width="33.375" style="261" customWidth="1"/>
    <col min="774" max="774" width="13.375" style="261" customWidth="1"/>
    <col min="775" max="775" width="10" style="261" customWidth="1"/>
    <col min="776" max="776" width="11.125" style="261" bestFit="1" customWidth="1"/>
    <col min="777" max="1023" width="9" style="261"/>
    <col min="1024" max="1024" width="4.125" style="261" customWidth="1"/>
    <col min="1025" max="1025" width="8.375" style="261" customWidth="1"/>
    <col min="1026" max="1026" width="12.5" style="261" customWidth="1"/>
    <col min="1027" max="1027" width="8.375" style="261" customWidth="1"/>
    <col min="1028" max="1028" width="20" style="261" customWidth="1"/>
    <col min="1029" max="1029" width="33.375" style="261" customWidth="1"/>
    <col min="1030" max="1030" width="13.375" style="261" customWidth="1"/>
    <col min="1031" max="1031" width="10" style="261" customWidth="1"/>
    <col min="1032" max="1032" width="11.125" style="261" bestFit="1" customWidth="1"/>
    <col min="1033" max="1279" width="9" style="261"/>
    <col min="1280" max="1280" width="4.125" style="261" customWidth="1"/>
    <col min="1281" max="1281" width="8.375" style="261" customWidth="1"/>
    <col min="1282" max="1282" width="12.5" style="261" customWidth="1"/>
    <col min="1283" max="1283" width="8.375" style="261" customWidth="1"/>
    <col min="1284" max="1284" width="20" style="261" customWidth="1"/>
    <col min="1285" max="1285" width="33.375" style="261" customWidth="1"/>
    <col min="1286" max="1286" width="13.375" style="261" customWidth="1"/>
    <col min="1287" max="1287" width="10" style="261" customWidth="1"/>
    <col min="1288" max="1288" width="11.125" style="261" bestFit="1" customWidth="1"/>
    <col min="1289" max="1535" width="9" style="261"/>
    <col min="1536" max="1536" width="4.125" style="261" customWidth="1"/>
    <col min="1537" max="1537" width="8.375" style="261" customWidth="1"/>
    <col min="1538" max="1538" width="12.5" style="261" customWidth="1"/>
    <col min="1539" max="1539" width="8.375" style="261" customWidth="1"/>
    <col min="1540" max="1540" width="20" style="261" customWidth="1"/>
    <col min="1541" max="1541" width="33.375" style="261" customWidth="1"/>
    <col min="1542" max="1542" width="13.375" style="261" customWidth="1"/>
    <col min="1543" max="1543" width="10" style="261" customWidth="1"/>
    <col min="1544" max="1544" width="11.125" style="261" bestFit="1" customWidth="1"/>
    <col min="1545" max="1791" width="9" style="261"/>
    <col min="1792" max="1792" width="4.125" style="261" customWidth="1"/>
    <col min="1793" max="1793" width="8.375" style="261" customWidth="1"/>
    <col min="1794" max="1794" width="12.5" style="261" customWidth="1"/>
    <col min="1795" max="1795" width="8.375" style="261" customWidth="1"/>
    <col min="1796" max="1796" width="20" style="261" customWidth="1"/>
    <col min="1797" max="1797" width="33.375" style="261" customWidth="1"/>
    <col min="1798" max="1798" width="13.375" style="261" customWidth="1"/>
    <col min="1799" max="1799" width="10" style="261" customWidth="1"/>
    <col min="1800" max="1800" width="11.125" style="261" bestFit="1" customWidth="1"/>
    <col min="1801" max="2047" width="9" style="261"/>
    <col min="2048" max="2048" width="4.125" style="261" customWidth="1"/>
    <col min="2049" max="2049" width="8.375" style="261" customWidth="1"/>
    <col min="2050" max="2050" width="12.5" style="261" customWidth="1"/>
    <col min="2051" max="2051" width="8.375" style="261" customWidth="1"/>
    <col min="2052" max="2052" width="20" style="261" customWidth="1"/>
    <col min="2053" max="2053" width="33.375" style="261" customWidth="1"/>
    <col min="2054" max="2054" width="13.375" style="261" customWidth="1"/>
    <col min="2055" max="2055" width="10" style="261" customWidth="1"/>
    <col min="2056" max="2056" width="11.125" style="261" bestFit="1" customWidth="1"/>
    <col min="2057" max="2303" width="9" style="261"/>
    <col min="2304" max="2304" width="4.125" style="261" customWidth="1"/>
    <col min="2305" max="2305" width="8.375" style="261" customWidth="1"/>
    <col min="2306" max="2306" width="12.5" style="261" customWidth="1"/>
    <col min="2307" max="2307" width="8.375" style="261" customWidth="1"/>
    <col min="2308" max="2308" width="20" style="261" customWidth="1"/>
    <col min="2309" max="2309" width="33.375" style="261" customWidth="1"/>
    <col min="2310" max="2310" width="13.375" style="261" customWidth="1"/>
    <col min="2311" max="2311" width="10" style="261" customWidth="1"/>
    <col min="2312" max="2312" width="11.125" style="261" bestFit="1" customWidth="1"/>
    <col min="2313" max="2559" width="9" style="261"/>
    <col min="2560" max="2560" width="4.125" style="261" customWidth="1"/>
    <col min="2561" max="2561" width="8.375" style="261" customWidth="1"/>
    <col min="2562" max="2562" width="12.5" style="261" customWidth="1"/>
    <col min="2563" max="2563" width="8.375" style="261" customWidth="1"/>
    <col min="2564" max="2564" width="20" style="261" customWidth="1"/>
    <col min="2565" max="2565" width="33.375" style="261" customWidth="1"/>
    <col min="2566" max="2566" width="13.375" style="261" customWidth="1"/>
    <col min="2567" max="2567" width="10" style="261" customWidth="1"/>
    <col min="2568" max="2568" width="11.125" style="261" bestFit="1" customWidth="1"/>
    <col min="2569" max="2815" width="9" style="261"/>
    <col min="2816" max="2816" width="4.125" style="261" customWidth="1"/>
    <col min="2817" max="2817" width="8.375" style="261" customWidth="1"/>
    <col min="2818" max="2818" width="12.5" style="261" customWidth="1"/>
    <col min="2819" max="2819" width="8.375" style="261" customWidth="1"/>
    <col min="2820" max="2820" width="20" style="261" customWidth="1"/>
    <col min="2821" max="2821" width="33.375" style="261" customWidth="1"/>
    <col min="2822" max="2822" width="13.375" style="261" customWidth="1"/>
    <col min="2823" max="2823" width="10" style="261" customWidth="1"/>
    <col min="2824" max="2824" width="11.125" style="261" bestFit="1" customWidth="1"/>
    <col min="2825" max="3071" width="9" style="261"/>
    <col min="3072" max="3072" width="4.125" style="261" customWidth="1"/>
    <col min="3073" max="3073" width="8.375" style="261" customWidth="1"/>
    <col min="3074" max="3074" width="12.5" style="261" customWidth="1"/>
    <col min="3075" max="3075" width="8.375" style="261" customWidth="1"/>
    <col min="3076" max="3076" width="20" style="261" customWidth="1"/>
    <col min="3077" max="3077" width="33.375" style="261" customWidth="1"/>
    <col min="3078" max="3078" width="13.375" style="261" customWidth="1"/>
    <col min="3079" max="3079" width="10" style="261" customWidth="1"/>
    <col min="3080" max="3080" width="11.125" style="261" bestFit="1" customWidth="1"/>
    <col min="3081" max="3327" width="9" style="261"/>
    <col min="3328" max="3328" width="4.125" style="261" customWidth="1"/>
    <col min="3329" max="3329" width="8.375" style="261" customWidth="1"/>
    <col min="3330" max="3330" width="12.5" style="261" customWidth="1"/>
    <col min="3331" max="3331" width="8.375" style="261" customWidth="1"/>
    <col min="3332" max="3332" width="20" style="261" customWidth="1"/>
    <col min="3333" max="3333" width="33.375" style="261" customWidth="1"/>
    <col min="3334" max="3334" width="13.375" style="261" customWidth="1"/>
    <col min="3335" max="3335" width="10" style="261" customWidth="1"/>
    <col min="3336" max="3336" width="11.125" style="261" bestFit="1" customWidth="1"/>
    <col min="3337" max="3583" width="9" style="261"/>
    <col min="3584" max="3584" width="4.125" style="261" customWidth="1"/>
    <col min="3585" max="3585" width="8.375" style="261" customWidth="1"/>
    <col min="3586" max="3586" width="12.5" style="261" customWidth="1"/>
    <col min="3587" max="3587" width="8.375" style="261" customWidth="1"/>
    <col min="3588" max="3588" width="20" style="261" customWidth="1"/>
    <col min="3589" max="3589" width="33.375" style="261" customWidth="1"/>
    <col min="3590" max="3590" width="13.375" style="261" customWidth="1"/>
    <col min="3591" max="3591" width="10" style="261" customWidth="1"/>
    <col min="3592" max="3592" width="11.125" style="261" bestFit="1" customWidth="1"/>
    <col min="3593" max="3839" width="9" style="261"/>
    <col min="3840" max="3840" width="4.125" style="261" customWidth="1"/>
    <col min="3841" max="3841" width="8.375" style="261" customWidth="1"/>
    <col min="3842" max="3842" width="12.5" style="261" customWidth="1"/>
    <col min="3843" max="3843" width="8.375" style="261" customWidth="1"/>
    <col min="3844" max="3844" width="20" style="261" customWidth="1"/>
    <col min="3845" max="3845" width="33.375" style="261" customWidth="1"/>
    <col min="3846" max="3846" width="13.375" style="261" customWidth="1"/>
    <col min="3847" max="3847" width="10" style="261" customWidth="1"/>
    <col min="3848" max="3848" width="11.125" style="261" bestFit="1" customWidth="1"/>
    <col min="3849" max="4095" width="9" style="261"/>
    <col min="4096" max="4096" width="4.125" style="261" customWidth="1"/>
    <col min="4097" max="4097" width="8.375" style="261" customWidth="1"/>
    <col min="4098" max="4098" width="12.5" style="261" customWidth="1"/>
    <col min="4099" max="4099" width="8.375" style="261" customWidth="1"/>
    <col min="4100" max="4100" width="20" style="261" customWidth="1"/>
    <col min="4101" max="4101" width="33.375" style="261" customWidth="1"/>
    <col min="4102" max="4102" width="13.375" style="261" customWidth="1"/>
    <col min="4103" max="4103" width="10" style="261" customWidth="1"/>
    <col min="4104" max="4104" width="11.125" style="261" bestFit="1" customWidth="1"/>
    <col min="4105" max="4351" width="9" style="261"/>
    <col min="4352" max="4352" width="4.125" style="261" customWidth="1"/>
    <col min="4353" max="4353" width="8.375" style="261" customWidth="1"/>
    <col min="4354" max="4354" width="12.5" style="261" customWidth="1"/>
    <col min="4355" max="4355" width="8.375" style="261" customWidth="1"/>
    <col min="4356" max="4356" width="20" style="261" customWidth="1"/>
    <col min="4357" max="4357" width="33.375" style="261" customWidth="1"/>
    <col min="4358" max="4358" width="13.375" style="261" customWidth="1"/>
    <col min="4359" max="4359" width="10" style="261" customWidth="1"/>
    <col min="4360" max="4360" width="11.125" style="261" bestFit="1" customWidth="1"/>
    <col min="4361" max="4607" width="9" style="261"/>
    <col min="4608" max="4608" width="4.125" style="261" customWidth="1"/>
    <col min="4609" max="4609" width="8.375" style="261" customWidth="1"/>
    <col min="4610" max="4610" width="12.5" style="261" customWidth="1"/>
    <col min="4611" max="4611" width="8.375" style="261" customWidth="1"/>
    <col min="4612" max="4612" width="20" style="261" customWidth="1"/>
    <col min="4613" max="4613" width="33.375" style="261" customWidth="1"/>
    <col min="4614" max="4614" width="13.375" style="261" customWidth="1"/>
    <col min="4615" max="4615" width="10" style="261" customWidth="1"/>
    <col min="4616" max="4616" width="11.125" style="261" bestFit="1" customWidth="1"/>
    <col min="4617" max="4863" width="9" style="261"/>
    <col min="4864" max="4864" width="4.125" style="261" customWidth="1"/>
    <col min="4865" max="4865" width="8.375" style="261" customWidth="1"/>
    <col min="4866" max="4866" width="12.5" style="261" customWidth="1"/>
    <col min="4867" max="4867" width="8.375" style="261" customWidth="1"/>
    <col min="4868" max="4868" width="20" style="261" customWidth="1"/>
    <col min="4869" max="4869" width="33.375" style="261" customWidth="1"/>
    <col min="4870" max="4870" width="13.375" style="261" customWidth="1"/>
    <col min="4871" max="4871" width="10" style="261" customWidth="1"/>
    <col min="4872" max="4872" width="11.125" style="261" bestFit="1" customWidth="1"/>
    <col min="4873" max="5119" width="9" style="261"/>
    <col min="5120" max="5120" width="4.125" style="261" customWidth="1"/>
    <col min="5121" max="5121" width="8.375" style="261" customWidth="1"/>
    <col min="5122" max="5122" width="12.5" style="261" customWidth="1"/>
    <col min="5123" max="5123" width="8.375" style="261" customWidth="1"/>
    <col min="5124" max="5124" width="20" style="261" customWidth="1"/>
    <col min="5125" max="5125" width="33.375" style="261" customWidth="1"/>
    <col min="5126" max="5126" width="13.375" style="261" customWidth="1"/>
    <col min="5127" max="5127" width="10" style="261" customWidth="1"/>
    <col min="5128" max="5128" width="11.125" style="261" bestFit="1" customWidth="1"/>
    <col min="5129" max="5375" width="9" style="261"/>
    <col min="5376" max="5376" width="4.125" style="261" customWidth="1"/>
    <col min="5377" max="5377" width="8.375" style="261" customWidth="1"/>
    <col min="5378" max="5378" width="12.5" style="261" customWidth="1"/>
    <col min="5379" max="5379" width="8.375" style="261" customWidth="1"/>
    <col min="5380" max="5380" width="20" style="261" customWidth="1"/>
    <col min="5381" max="5381" width="33.375" style="261" customWidth="1"/>
    <col min="5382" max="5382" width="13.375" style="261" customWidth="1"/>
    <col min="5383" max="5383" width="10" style="261" customWidth="1"/>
    <col min="5384" max="5384" width="11.125" style="261" bestFit="1" customWidth="1"/>
    <col min="5385" max="5631" width="9" style="261"/>
    <col min="5632" max="5632" width="4.125" style="261" customWidth="1"/>
    <col min="5633" max="5633" width="8.375" style="261" customWidth="1"/>
    <col min="5634" max="5634" width="12.5" style="261" customWidth="1"/>
    <col min="5635" max="5635" width="8.375" style="261" customWidth="1"/>
    <col min="5636" max="5636" width="20" style="261" customWidth="1"/>
    <col min="5637" max="5637" width="33.375" style="261" customWidth="1"/>
    <col min="5638" max="5638" width="13.375" style="261" customWidth="1"/>
    <col min="5639" max="5639" width="10" style="261" customWidth="1"/>
    <col min="5640" max="5640" width="11.125" style="261" bestFit="1" customWidth="1"/>
    <col min="5641" max="5887" width="9" style="261"/>
    <col min="5888" max="5888" width="4.125" style="261" customWidth="1"/>
    <col min="5889" max="5889" width="8.375" style="261" customWidth="1"/>
    <col min="5890" max="5890" width="12.5" style="261" customWidth="1"/>
    <col min="5891" max="5891" width="8.375" style="261" customWidth="1"/>
    <col min="5892" max="5892" width="20" style="261" customWidth="1"/>
    <col min="5893" max="5893" width="33.375" style="261" customWidth="1"/>
    <col min="5894" max="5894" width="13.375" style="261" customWidth="1"/>
    <col min="5895" max="5895" width="10" style="261" customWidth="1"/>
    <col min="5896" max="5896" width="11.125" style="261" bestFit="1" customWidth="1"/>
    <col min="5897" max="6143" width="9" style="261"/>
    <col min="6144" max="6144" width="4.125" style="261" customWidth="1"/>
    <col min="6145" max="6145" width="8.375" style="261" customWidth="1"/>
    <col min="6146" max="6146" width="12.5" style="261" customWidth="1"/>
    <col min="6147" max="6147" width="8.375" style="261" customWidth="1"/>
    <col min="6148" max="6148" width="20" style="261" customWidth="1"/>
    <col min="6149" max="6149" width="33.375" style="261" customWidth="1"/>
    <col min="6150" max="6150" width="13.375" style="261" customWidth="1"/>
    <col min="6151" max="6151" width="10" style="261" customWidth="1"/>
    <col min="6152" max="6152" width="11.125" style="261" bestFit="1" customWidth="1"/>
    <col min="6153" max="6399" width="9" style="261"/>
    <col min="6400" max="6400" width="4.125" style="261" customWidth="1"/>
    <col min="6401" max="6401" width="8.375" style="261" customWidth="1"/>
    <col min="6402" max="6402" width="12.5" style="261" customWidth="1"/>
    <col min="6403" max="6403" width="8.375" style="261" customWidth="1"/>
    <col min="6404" max="6404" width="20" style="261" customWidth="1"/>
    <col min="6405" max="6405" width="33.375" style="261" customWidth="1"/>
    <col min="6406" max="6406" width="13.375" style="261" customWidth="1"/>
    <col min="6407" max="6407" width="10" style="261" customWidth="1"/>
    <col min="6408" max="6408" width="11.125" style="261" bestFit="1" customWidth="1"/>
    <col min="6409" max="6655" width="9" style="261"/>
    <col min="6656" max="6656" width="4.125" style="261" customWidth="1"/>
    <col min="6657" max="6657" width="8.375" style="261" customWidth="1"/>
    <col min="6658" max="6658" width="12.5" style="261" customWidth="1"/>
    <col min="6659" max="6659" width="8.375" style="261" customWidth="1"/>
    <col min="6660" max="6660" width="20" style="261" customWidth="1"/>
    <col min="6661" max="6661" width="33.375" style="261" customWidth="1"/>
    <col min="6662" max="6662" width="13.375" style="261" customWidth="1"/>
    <col min="6663" max="6663" width="10" style="261" customWidth="1"/>
    <col min="6664" max="6664" width="11.125" style="261" bestFit="1" customWidth="1"/>
    <col min="6665" max="6911" width="9" style="261"/>
    <col min="6912" max="6912" width="4.125" style="261" customWidth="1"/>
    <col min="6913" max="6913" width="8.375" style="261" customWidth="1"/>
    <col min="6914" max="6914" width="12.5" style="261" customWidth="1"/>
    <col min="6915" max="6915" width="8.375" style="261" customWidth="1"/>
    <col min="6916" max="6916" width="20" style="261" customWidth="1"/>
    <col min="6917" max="6917" width="33.375" style="261" customWidth="1"/>
    <col min="6918" max="6918" width="13.375" style="261" customWidth="1"/>
    <col min="6919" max="6919" width="10" style="261" customWidth="1"/>
    <col min="6920" max="6920" width="11.125" style="261" bestFit="1" customWidth="1"/>
    <col min="6921" max="7167" width="9" style="261"/>
    <col min="7168" max="7168" width="4.125" style="261" customWidth="1"/>
    <col min="7169" max="7169" width="8.375" style="261" customWidth="1"/>
    <col min="7170" max="7170" width="12.5" style="261" customWidth="1"/>
    <col min="7171" max="7171" width="8.375" style="261" customWidth="1"/>
    <col min="7172" max="7172" width="20" style="261" customWidth="1"/>
    <col min="7173" max="7173" width="33.375" style="261" customWidth="1"/>
    <col min="7174" max="7174" width="13.375" style="261" customWidth="1"/>
    <col min="7175" max="7175" width="10" style="261" customWidth="1"/>
    <col min="7176" max="7176" width="11.125" style="261" bestFit="1" customWidth="1"/>
    <col min="7177" max="7423" width="9" style="261"/>
    <col min="7424" max="7424" width="4.125" style="261" customWidth="1"/>
    <col min="7425" max="7425" width="8.375" style="261" customWidth="1"/>
    <col min="7426" max="7426" width="12.5" style="261" customWidth="1"/>
    <col min="7427" max="7427" width="8.375" style="261" customWidth="1"/>
    <col min="7428" max="7428" width="20" style="261" customWidth="1"/>
    <col min="7429" max="7429" width="33.375" style="261" customWidth="1"/>
    <col min="7430" max="7430" width="13.375" style="261" customWidth="1"/>
    <col min="7431" max="7431" width="10" style="261" customWidth="1"/>
    <col min="7432" max="7432" width="11.125" style="261" bestFit="1" customWidth="1"/>
    <col min="7433" max="7679" width="9" style="261"/>
    <col min="7680" max="7680" width="4.125" style="261" customWidth="1"/>
    <col min="7681" max="7681" width="8.375" style="261" customWidth="1"/>
    <col min="7682" max="7682" width="12.5" style="261" customWidth="1"/>
    <col min="7683" max="7683" width="8.375" style="261" customWidth="1"/>
    <col min="7684" max="7684" width="20" style="261" customWidth="1"/>
    <col min="7685" max="7685" width="33.375" style="261" customWidth="1"/>
    <col min="7686" max="7686" width="13.375" style="261" customWidth="1"/>
    <col min="7687" max="7687" width="10" style="261" customWidth="1"/>
    <col min="7688" max="7688" width="11.125" style="261" bestFit="1" customWidth="1"/>
    <col min="7689" max="7935" width="9" style="261"/>
    <col min="7936" max="7936" width="4.125" style="261" customWidth="1"/>
    <col min="7937" max="7937" width="8.375" style="261" customWidth="1"/>
    <col min="7938" max="7938" width="12.5" style="261" customWidth="1"/>
    <col min="7939" max="7939" width="8.375" style="261" customWidth="1"/>
    <col min="7940" max="7940" width="20" style="261" customWidth="1"/>
    <col min="7941" max="7941" width="33.375" style="261" customWidth="1"/>
    <col min="7942" max="7942" width="13.375" style="261" customWidth="1"/>
    <col min="7943" max="7943" width="10" style="261" customWidth="1"/>
    <col min="7944" max="7944" width="11.125" style="261" bestFit="1" customWidth="1"/>
    <col min="7945" max="8191" width="9" style="261"/>
    <col min="8192" max="8192" width="4.125" style="261" customWidth="1"/>
    <col min="8193" max="8193" width="8.375" style="261" customWidth="1"/>
    <col min="8194" max="8194" width="12.5" style="261" customWidth="1"/>
    <col min="8195" max="8195" width="8.375" style="261" customWidth="1"/>
    <col min="8196" max="8196" width="20" style="261" customWidth="1"/>
    <col min="8197" max="8197" width="33.375" style="261" customWidth="1"/>
    <col min="8198" max="8198" width="13.375" style="261" customWidth="1"/>
    <col min="8199" max="8199" width="10" style="261" customWidth="1"/>
    <col min="8200" max="8200" width="11.125" style="261" bestFit="1" customWidth="1"/>
    <col min="8201" max="8447" width="9" style="261"/>
    <col min="8448" max="8448" width="4.125" style="261" customWidth="1"/>
    <col min="8449" max="8449" width="8.375" style="261" customWidth="1"/>
    <col min="8450" max="8450" width="12.5" style="261" customWidth="1"/>
    <col min="8451" max="8451" width="8.375" style="261" customWidth="1"/>
    <col min="8452" max="8452" width="20" style="261" customWidth="1"/>
    <col min="8453" max="8453" width="33.375" style="261" customWidth="1"/>
    <col min="8454" max="8454" width="13.375" style="261" customWidth="1"/>
    <col min="8455" max="8455" width="10" style="261" customWidth="1"/>
    <col min="8456" max="8456" width="11.125" style="261" bestFit="1" customWidth="1"/>
    <col min="8457" max="8703" width="9" style="261"/>
    <col min="8704" max="8704" width="4.125" style="261" customWidth="1"/>
    <col min="8705" max="8705" width="8.375" style="261" customWidth="1"/>
    <col min="8706" max="8706" width="12.5" style="261" customWidth="1"/>
    <col min="8707" max="8707" width="8.375" style="261" customWidth="1"/>
    <col min="8708" max="8708" width="20" style="261" customWidth="1"/>
    <col min="8709" max="8709" width="33.375" style="261" customWidth="1"/>
    <col min="8710" max="8710" width="13.375" style="261" customWidth="1"/>
    <col min="8711" max="8711" width="10" style="261" customWidth="1"/>
    <col min="8712" max="8712" width="11.125" style="261" bestFit="1" customWidth="1"/>
    <col min="8713" max="8959" width="9" style="261"/>
    <col min="8960" max="8960" width="4.125" style="261" customWidth="1"/>
    <col min="8961" max="8961" width="8.375" style="261" customWidth="1"/>
    <col min="8962" max="8962" width="12.5" style="261" customWidth="1"/>
    <col min="8963" max="8963" width="8.375" style="261" customWidth="1"/>
    <col min="8964" max="8964" width="20" style="261" customWidth="1"/>
    <col min="8965" max="8965" width="33.375" style="261" customWidth="1"/>
    <col min="8966" max="8966" width="13.375" style="261" customWidth="1"/>
    <col min="8967" max="8967" width="10" style="261" customWidth="1"/>
    <col min="8968" max="8968" width="11.125" style="261" bestFit="1" customWidth="1"/>
    <col min="8969" max="9215" width="9" style="261"/>
    <col min="9216" max="9216" width="4.125" style="261" customWidth="1"/>
    <col min="9217" max="9217" width="8.375" style="261" customWidth="1"/>
    <col min="9218" max="9218" width="12.5" style="261" customWidth="1"/>
    <col min="9219" max="9219" width="8.375" style="261" customWidth="1"/>
    <col min="9220" max="9220" width="20" style="261" customWidth="1"/>
    <col min="9221" max="9221" width="33.375" style="261" customWidth="1"/>
    <col min="9222" max="9222" width="13.375" style="261" customWidth="1"/>
    <col min="9223" max="9223" width="10" style="261" customWidth="1"/>
    <col min="9224" max="9224" width="11.125" style="261" bestFit="1" customWidth="1"/>
    <col min="9225" max="9471" width="9" style="261"/>
    <col min="9472" max="9472" width="4.125" style="261" customWidth="1"/>
    <col min="9473" max="9473" width="8.375" style="261" customWidth="1"/>
    <col min="9474" max="9474" width="12.5" style="261" customWidth="1"/>
    <col min="9475" max="9475" width="8.375" style="261" customWidth="1"/>
    <col min="9476" max="9476" width="20" style="261" customWidth="1"/>
    <col min="9477" max="9477" width="33.375" style="261" customWidth="1"/>
    <col min="9478" max="9478" width="13.375" style="261" customWidth="1"/>
    <col min="9479" max="9479" width="10" style="261" customWidth="1"/>
    <col min="9480" max="9480" width="11.125" style="261" bestFit="1" customWidth="1"/>
    <col min="9481" max="9727" width="9" style="261"/>
    <col min="9728" max="9728" width="4.125" style="261" customWidth="1"/>
    <col min="9729" max="9729" width="8.375" style="261" customWidth="1"/>
    <col min="9730" max="9730" width="12.5" style="261" customWidth="1"/>
    <col min="9731" max="9731" width="8.375" style="261" customWidth="1"/>
    <col min="9732" max="9732" width="20" style="261" customWidth="1"/>
    <col min="9733" max="9733" width="33.375" style="261" customWidth="1"/>
    <col min="9734" max="9734" width="13.375" style="261" customWidth="1"/>
    <col min="9735" max="9735" width="10" style="261" customWidth="1"/>
    <col min="9736" max="9736" width="11.125" style="261" bestFit="1" customWidth="1"/>
    <col min="9737" max="9983" width="9" style="261"/>
    <col min="9984" max="9984" width="4.125" style="261" customWidth="1"/>
    <col min="9985" max="9985" width="8.375" style="261" customWidth="1"/>
    <col min="9986" max="9986" width="12.5" style="261" customWidth="1"/>
    <col min="9987" max="9987" width="8.375" style="261" customWidth="1"/>
    <col min="9988" max="9988" width="20" style="261" customWidth="1"/>
    <col min="9989" max="9989" width="33.375" style="261" customWidth="1"/>
    <col min="9990" max="9990" width="13.375" style="261" customWidth="1"/>
    <col min="9991" max="9991" width="10" style="261" customWidth="1"/>
    <col min="9992" max="9992" width="11.125" style="261" bestFit="1" customWidth="1"/>
    <col min="9993" max="10239" width="9" style="261"/>
    <col min="10240" max="10240" width="4.125" style="261" customWidth="1"/>
    <col min="10241" max="10241" width="8.375" style="261" customWidth="1"/>
    <col min="10242" max="10242" width="12.5" style="261" customWidth="1"/>
    <col min="10243" max="10243" width="8.375" style="261" customWidth="1"/>
    <col min="10244" max="10244" width="20" style="261" customWidth="1"/>
    <col min="10245" max="10245" width="33.375" style="261" customWidth="1"/>
    <col min="10246" max="10246" width="13.375" style="261" customWidth="1"/>
    <col min="10247" max="10247" width="10" style="261" customWidth="1"/>
    <col min="10248" max="10248" width="11.125" style="261" bestFit="1" customWidth="1"/>
    <col min="10249" max="10495" width="9" style="261"/>
    <col min="10496" max="10496" width="4.125" style="261" customWidth="1"/>
    <col min="10497" max="10497" width="8.375" style="261" customWidth="1"/>
    <col min="10498" max="10498" width="12.5" style="261" customWidth="1"/>
    <col min="10499" max="10499" width="8.375" style="261" customWidth="1"/>
    <col min="10500" max="10500" width="20" style="261" customWidth="1"/>
    <col min="10501" max="10501" width="33.375" style="261" customWidth="1"/>
    <col min="10502" max="10502" width="13.375" style="261" customWidth="1"/>
    <col min="10503" max="10503" width="10" style="261" customWidth="1"/>
    <col min="10504" max="10504" width="11.125" style="261" bestFit="1" customWidth="1"/>
    <col min="10505" max="10751" width="9" style="261"/>
    <col min="10752" max="10752" width="4.125" style="261" customWidth="1"/>
    <col min="10753" max="10753" width="8.375" style="261" customWidth="1"/>
    <col min="10754" max="10754" width="12.5" style="261" customWidth="1"/>
    <col min="10755" max="10755" width="8.375" style="261" customWidth="1"/>
    <col min="10756" max="10756" width="20" style="261" customWidth="1"/>
    <col min="10757" max="10757" width="33.375" style="261" customWidth="1"/>
    <col min="10758" max="10758" width="13.375" style="261" customWidth="1"/>
    <col min="10759" max="10759" width="10" style="261" customWidth="1"/>
    <col min="10760" max="10760" width="11.125" style="261" bestFit="1" customWidth="1"/>
    <col min="10761" max="11007" width="9" style="261"/>
    <col min="11008" max="11008" width="4.125" style="261" customWidth="1"/>
    <col min="11009" max="11009" width="8.375" style="261" customWidth="1"/>
    <col min="11010" max="11010" width="12.5" style="261" customWidth="1"/>
    <col min="11011" max="11011" width="8.375" style="261" customWidth="1"/>
    <col min="11012" max="11012" width="20" style="261" customWidth="1"/>
    <col min="11013" max="11013" width="33.375" style="261" customWidth="1"/>
    <col min="11014" max="11014" width="13.375" style="261" customWidth="1"/>
    <col min="11015" max="11015" width="10" style="261" customWidth="1"/>
    <col min="11016" max="11016" width="11.125" style="261" bestFit="1" customWidth="1"/>
    <col min="11017" max="11263" width="9" style="261"/>
    <col min="11264" max="11264" width="4.125" style="261" customWidth="1"/>
    <col min="11265" max="11265" width="8.375" style="261" customWidth="1"/>
    <col min="11266" max="11266" width="12.5" style="261" customWidth="1"/>
    <col min="11267" max="11267" width="8.375" style="261" customWidth="1"/>
    <col min="11268" max="11268" width="20" style="261" customWidth="1"/>
    <col min="11269" max="11269" width="33.375" style="261" customWidth="1"/>
    <col min="11270" max="11270" width="13.375" style="261" customWidth="1"/>
    <col min="11271" max="11271" width="10" style="261" customWidth="1"/>
    <col min="11272" max="11272" width="11.125" style="261" bestFit="1" customWidth="1"/>
    <col min="11273" max="11519" width="9" style="261"/>
    <col min="11520" max="11520" width="4.125" style="261" customWidth="1"/>
    <col min="11521" max="11521" width="8.375" style="261" customWidth="1"/>
    <col min="11522" max="11522" width="12.5" style="261" customWidth="1"/>
    <col min="11523" max="11523" width="8.375" style="261" customWidth="1"/>
    <col min="11524" max="11524" width="20" style="261" customWidth="1"/>
    <col min="11525" max="11525" width="33.375" style="261" customWidth="1"/>
    <col min="11526" max="11526" width="13.375" style="261" customWidth="1"/>
    <col min="11527" max="11527" width="10" style="261" customWidth="1"/>
    <col min="11528" max="11528" width="11.125" style="261" bestFit="1" customWidth="1"/>
    <col min="11529" max="11775" width="9" style="261"/>
    <col min="11776" max="11776" width="4.125" style="261" customWidth="1"/>
    <col min="11777" max="11777" width="8.375" style="261" customWidth="1"/>
    <col min="11778" max="11778" width="12.5" style="261" customWidth="1"/>
    <col min="11779" max="11779" width="8.375" style="261" customWidth="1"/>
    <col min="11780" max="11780" width="20" style="261" customWidth="1"/>
    <col min="11781" max="11781" width="33.375" style="261" customWidth="1"/>
    <col min="11782" max="11782" width="13.375" style="261" customWidth="1"/>
    <col min="11783" max="11783" width="10" style="261" customWidth="1"/>
    <col min="11784" max="11784" width="11.125" style="261" bestFit="1" customWidth="1"/>
    <col min="11785" max="12031" width="9" style="261"/>
    <col min="12032" max="12032" width="4.125" style="261" customWidth="1"/>
    <col min="12033" max="12033" width="8.375" style="261" customWidth="1"/>
    <col min="12034" max="12034" width="12.5" style="261" customWidth="1"/>
    <col min="12035" max="12035" width="8.375" style="261" customWidth="1"/>
    <col min="12036" max="12036" width="20" style="261" customWidth="1"/>
    <col min="12037" max="12037" width="33.375" style="261" customWidth="1"/>
    <col min="12038" max="12038" width="13.375" style="261" customWidth="1"/>
    <col min="12039" max="12039" width="10" style="261" customWidth="1"/>
    <col min="12040" max="12040" width="11.125" style="261" bestFit="1" customWidth="1"/>
    <col min="12041" max="12287" width="9" style="261"/>
    <col min="12288" max="12288" width="4.125" style="261" customWidth="1"/>
    <col min="12289" max="12289" width="8.375" style="261" customWidth="1"/>
    <col min="12290" max="12290" width="12.5" style="261" customWidth="1"/>
    <col min="12291" max="12291" width="8.375" style="261" customWidth="1"/>
    <col min="12292" max="12292" width="20" style="261" customWidth="1"/>
    <col min="12293" max="12293" width="33.375" style="261" customWidth="1"/>
    <col min="12294" max="12294" width="13.375" style="261" customWidth="1"/>
    <col min="12295" max="12295" width="10" style="261" customWidth="1"/>
    <col min="12296" max="12296" width="11.125" style="261" bestFit="1" customWidth="1"/>
    <col min="12297" max="12543" width="9" style="261"/>
    <col min="12544" max="12544" width="4.125" style="261" customWidth="1"/>
    <col min="12545" max="12545" width="8.375" style="261" customWidth="1"/>
    <col min="12546" max="12546" width="12.5" style="261" customWidth="1"/>
    <col min="12547" max="12547" width="8.375" style="261" customWidth="1"/>
    <col min="12548" max="12548" width="20" style="261" customWidth="1"/>
    <col min="12549" max="12549" width="33.375" style="261" customWidth="1"/>
    <col min="12550" max="12550" width="13.375" style="261" customWidth="1"/>
    <col min="12551" max="12551" width="10" style="261" customWidth="1"/>
    <col min="12552" max="12552" width="11.125" style="261" bestFit="1" customWidth="1"/>
    <col min="12553" max="12799" width="9" style="261"/>
    <col min="12800" max="12800" width="4.125" style="261" customWidth="1"/>
    <col min="12801" max="12801" width="8.375" style="261" customWidth="1"/>
    <col min="12802" max="12802" width="12.5" style="261" customWidth="1"/>
    <col min="12803" max="12803" width="8.375" style="261" customWidth="1"/>
    <col min="12804" max="12804" width="20" style="261" customWidth="1"/>
    <col min="12805" max="12805" width="33.375" style="261" customWidth="1"/>
    <col min="12806" max="12806" width="13.375" style="261" customWidth="1"/>
    <col min="12807" max="12807" width="10" style="261" customWidth="1"/>
    <col min="12808" max="12808" width="11.125" style="261" bestFit="1" customWidth="1"/>
    <col min="12809" max="13055" width="9" style="261"/>
    <col min="13056" max="13056" width="4.125" style="261" customWidth="1"/>
    <col min="13057" max="13057" width="8.375" style="261" customWidth="1"/>
    <col min="13058" max="13058" width="12.5" style="261" customWidth="1"/>
    <col min="13059" max="13059" width="8.375" style="261" customWidth="1"/>
    <col min="13060" max="13060" width="20" style="261" customWidth="1"/>
    <col min="13061" max="13061" width="33.375" style="261" customWidth="1"/>
    <col min="13062" max="13062" width="13.375" style="261" customWidth="1"/>
    <col min="13063" max="13063" width="10" style="261" customWidth="1"/>
    <col min="13064" max="13064" width="11.125" style="261" bestFit="1" customWidth="1"/>
    <col min="13065" max="13311" width="9" style="261"/>
    <col min="13312" max="13312" width="4.125" style="261" customWidth="1"/>
    <col min="13313" max="13313" width="8.375" style="261" customWidth="1"/>
    <col min="13314" max="13314" width="12.5" style="261" customWidth="1"/>
    <col min="13315" max="13315" width="8.375" style="261" customWidth="1"/>
    <col min="13316" max="13316" width="20" style="261" customWidth="1"/>
    <col min="13317" max="13317" width="33.375" style="261" customWidth="1"/>
    <col min="13318" max="13318" width="13.375" style="261" customWidth="1"/>
    <col min="13319" max="13319" width="10" style="261" customWidth="1"/>
    <col min="13320" max="13320" width="11.125" style="261" bestFit="1" customWidth="1"/>
    <col min="13321" max="13567" width="9" style="261"/>
    <col min="13568" max="13568" width="4.125" style="261" customWidth="1"/>
    <col min="13569" max="13569" width="8.375" style="261" customWidth="1"/>
    <col min="13570" max="13570" width="12.5" style="261" customWidth="1"/>
    <col min="13571" max="13571" width="8.375" style="261" customWidth="1"/>
    <col min="13572" max="13572" width="20" style="261" customWidth="1"/>
    <col min="13573" max="13573" width="33.375" style="261" customWidth="1"/>
    <col min="13574" max="13574" width="13.375" style="261" customWidth="1"/>
    <col min="13575" max="13575" width="10" style="261" customWidth="1"/>
    <col min="13576" max="13576" width="11.125" style="261" bestFit="1" customWidth="1"/>
    <col min="13577" max="13823" width="9" style="261"/>
    <col min="13824" max="13824" width="4.125" style="261" customWidth="1"/>
    <col min="13825" max="13825" width="8.375" style="261" customWidth="1"/>
    <col min="13826" max="13826" width="12.5" style="261" customWidth="1"/>
    <col min="13827" max="13827" width="8.375" style="261" customWidth="1"/>
    <col min="13828" max="13828" width="20" style="261" customWidth="1"/>
    <col min="13829" max="13829" width="33.375" style="261" customWidth="1"/>
    <col min="13830" max="13830" width="13.375" style="261" customWidth="1"/>
    <col min="13831" max="13831" width="10" style="261" customWidth="1"/>
    <col min="13832" max="13832" width="11.125" style="261" bestFit="1" customWidth="1"/>
    <col min="13833" max="14079" width="9" style="261"/>
    <col min="14080" max="14080" width="4.125" style="261" customWidth="1"/>
    <col min="14081" max="14081" width="8.375" style="261" customWidth="1"/>
    <col min="14082" max="14082" width="12.5" style="261" customWidth="1"/>
    <col min="14083" max="14083" width="8.375" style="261" customWidth="1"/>
    <col min="14084" max="14084" width="20" style="261" customWidth="1"/>
    <col min="14085" max="14085" width="33.375" style="261" customWidth="1"/>
    <col min="14086" max="14086" width="13.375" style="261" customWidth="1"/>
    <col min="14087" max="14087" width="10" style="261" customWidth="1"/>
    <col min="14088" max="14088" width="11.125" style="261" bestFit="1" customWidth="1"/>
    <col min="14089" max="14335" width="9" style="261"/>
    <col min="14336" max="14336" width="4.125" style="261" customWidth="1"/>
    <col min="14337" max="14337" width="8.375" style="261" customWidth="1"/>
    <col min="14338" max="14338" width="12.5" style="261" customWidth="1"/>
    <col min="14339" max="14339" width="8.375" style="261" customWidth="1"/>
    <col min="14340" max="14340" width="20" style="261" customWidth="1"/>
    <col min="14341" max="14341" width="33.375" style="261" customWidth="1"/>
    <col min="14342" max="14342" width="13.375" style="261" customWidth="1"/>
    <col min="14343" max="14343" width="10" style="261" customWidth="1"/>
    <col min="14344" max="14344" width="11.125" style="261" bestFit="1" customWidth="1"/>
    <col min="14345" max="14591" width="9" style="261"/>
    <col min="14592" max="14592" width="4.125" style="261" customWidth="1"/>
    <col min="14593" max="14593" width="8.375" style="261" customWidth="1"/>
    <col min="14594" max="14594" width="12.5" style="261" customWidth="1"/>
    <col min="14595" max="14595" width="8.375" style="261" customWidth="1"/>
    <col min="14596" max="14596" width="20" style="261" customWidth="1"/>
    <col min="14597" max="14597" width="33.375" style="261" customWidth="1"/>
    <col min="14598" max="14598" width="13.375" style="261" customWidth="1"/>
    <col min="14599" max="14599" width="10" style="261" customWidth="1"/>
    <col min="14600" max="14600" width="11.125" style="261" bestFit="1" customWidth="1"/>
    <col min="14601" max="14847" width="9" style="261"/>
    <col min="14848" max="14848" width="4.125" style="261" customWidth="1"/>
    <col min="14849" max="14849" width="8.375" style="261" customWidth="1"/>
    <col min="14850" max="14850" width="12.5" style="261" customWidth="1"/>
    <col min="14851" max="14851" width="8.375" style="261" customWidth="1"/>
    <col min="14852" max="14852" width="20" style="261" customWidth="1"/>
    <col min="14853" max="14853" width="33.375" style="261" customWidth="1"/>
    <col min="14854" max="14854" width="13.375" style="261" customWidth="1"/>
    <col min="14855" max="14855" width="10" style="261" customWidth="1"/>
    <col min="14856" max="14856" width="11.125" style="261" bestFit="1" customWidth="1"/>
    <col min="14857" max="15103" width="9" style="261"/>
    <col min="15104" max="15104" width="4.125" style="261" customWidth="1"/>
    <col min="15105" max="15105" width="8.375" style="261" customWidth="1"/>
    <col min="15106" max="15106" width="12.5" style="261" customWidth="1"/>
    <col min="15107" max="15107" width="8.375" style="261" customWidth="1"/>
    <col min="15108" max="15108" width="20" style="261" customWidth="1"/>
    <col min="15109" max="15109" width="33.375" style="261" customWidth="1"/>
    <col min="15110" max="15110" width="13.375" style="261" customWidth="1"/>
    <col min="15111" max="15111" width="10" style="261" customWidth="1"/>
    <col min="15112" max="15112" width="11.125" style="261" bestFit="1" customWidth="1"/>
    <col min="15113" max="15359" width="9" style="261"/>
    <col min="15360" max="15360" width="4.125" style="261" customWidth="1"/>
    <col min="15361" max="15361" width="8.375" style="261" customWidth="1"/>
    <col min="15362" max="15362" width="12.5" style="261" customWidth="1"/>
    <col min="15363" max="15363" width="8.375" style="261" customWidth="1"/>
    <col min="15364" max="15364" width="20" style="261" customWidth="1"/>
    <col min="15365" max="15365" width="33.375" style="261" customWidth="1"/>
    <col min="15366" max="15366" width="13.375" style="261" customWidth="1"/>
    <col min="15367" max="15367" width="10" style="261" customWidth="1"/>
    <col min="15368" max="15368" width="11.125" style="261" bestFit="1" customWidth="1"/>
    <col min="15369" max="15615" width="9" style="261"/>
    <col min="15616" max="15616" width="4.125" style="261" customWidth="1"/>
    <col min="15617" max="15617" width="8.375" style="261" customWidth="1"/>
    <col min="15618" max="15618" width="12.5" style="261" customWidth="1"/>
    <col min="15619" max="15619" width="8.375" style="261" customWidth="1"/>
    <col min="15620" max="15620" width="20" style="261" customWidth="1"/>
    <col min="15621" max="15621" width="33.375" style="261" customWidth="1"/>
    <col min="15622" max="15622" width="13.375" style="261" customWidth="1"/>
    <col min="15623" max="15623" width="10" style="261" customWidth="1"/>
    <col min="15624" max="15624" width="11.125" style="261" bestFit="1" customWidth="1"/>
    <col min="15625" max="15871" width="9" style="261"/>
    <col min="15872" max="15872" width="4.125" style="261" customWidth="1"/>
    <col min="15873" max="15873" width="8.375" style="261" customWidth="1"/>
    <col min="15874" max="15874" width="12.5" style="261" customWidth="1"/>
    <col min="15875" max="15875" width="8.375" style="261" customWidth="1"/>
    <col min="15876" max="15876" width="20" style="261" customWidth="1"/>
    <col min="15877" max="15877" width="33.375" style="261" customWidth="1"/>
    <col min="15878" max="15878" width="13.375" style="261" customWidth="1"/>
    <col min="15879" max="15879" width="10" style="261" customWidth="1"/>
    <col min="15880" max="15880" width="11.125" style="261" bestFit="1" customWidth="1"/>
    <col min="15881" max="16127" width="9" style="261"/>
    <col min="16128" max="16128" width="4.125" style="261" customWidth="1"/>
    <col min="16129" max="16129" width="8.375" style="261" customWidth="1"/>
    <col min="16130" max="16130" width="12.5" style="261" customWidth="1"/>
    <col min="16131" max="16131" width="8.375" style="261" customWidth="1"/>
    <col min="16132" max="16132" width="20" style="261" customWidth="1"/>
    <col min="16133" max="16133" width="33.375" style="261" customWidth="1"/>
    <col min="16134" max="16134" width="13.375" style="261" customWidth="1"/>
    <col min="16135" max="16135" width="10" style="261" customWidth="1"/>
    <col min="16136" max="16136" width="11.125" style="261" bestFit="1" customWidth="1"/>
    <col min="16137" max="16384" width="9" style="261"/>
  </cols>
  <sheetData>
    <row r="1" spans="1:7" ht="25.5">
      <c r="A1" s="515" t="s">
        <v>156</v>
      </c>
      <c r="B1" s="515"/>
      <c r="C1" s="515"/>
      <c r="D1" s="515"/>
      <c r="E1" s="515"/>
      <c r="F1" s="515"/>
      <c r="G1" s="515"/>
    </row>
    <row r="2" spans="1:7" ht="21">
      <c r="A2" s="516" t="s">
        <v>543</v>
      </c>
      <c r="B2" s="517"/>
      <c r="C2" s="517"/>
      <c r="D2" s="517"/>
      <c r="E2" s="517"/>
      <c r="F2" s="517"/>
      <c r="G2" s="517"/>
    </row>
    <row r="3" spans="1:7" ht="20.25">
      <c r="A3" s="518" t="s">
        <v>509</v>
      </c>
      <c r="B3" s="518"/>
      <c r="C3" s="518"/>
      <c r="D3" s="518"/>
      <c r="E3" s="518"/>
      <c r="F3" s="518"/>
      <c r="G3" s="518"/>
    </row>
    <row r="4" spans="1:7" ht="20.25">
      <c r="A4" s="519" t="s">
        <v>544</v>
      </c>
      <c r="B4" s="520"/>
      <c r="C4" s="520"/>
      <c r="D4" s="520"/>
      <c r="E4" s="520"/>
      <c r="F4" s="520"/>
      <c r="G4" s="520"/>
    </row>
    <row r="5" spans="1:7" ht="19.5">
      <c r="A5" s="261" t="s">
        <v>510</v>
      </c>
      <c r="B5" s="262" t="s">
        <v>545</v>
      </c>
    </row>
    <row r="6" spans="1:7" ht="19.5">
      <c r="A6" s="261" t="s">
        <v>512</v>
      </c>
      <c r="B6" s="262" t="s">
        <v>766</v>
      </c>
    </row>
    <row r="7" spans="1:7" ht="19.5">
      <c r="A7" s="261" t="s">
        <v>513</v>
      </c>
      <c r="B7" s="262" t="s">
        <v>546</v>
      </c>
    </row>
    <row r="8" spans="1:7" ht="35.25" customHeight="1">
      <c r="A8" s="276" t="s">
        <v>515</v>
      </c>
      <c r="B8" s="542" t="s">
        <v>765</v>
      </c>
      <c r="C8" s="542"/>
      <c r="D8" s="542"/>
      <c r="E8" s="542"/>
    </row>
    <row r="9" spans="1:7" ht="19.5">
      <c r="A9" s="261" t="s">
        <v>518</v>
      </c>
      <c r="B9" s="262" t="s">
        <v>764</v>
      </c>
    </row>
    <row r="10" spans="1:7" ht="20.25">
      <c r="A10" s="520" t="s">
        <v>516</v>
      </c>
      <c r="B10" s="520"/>
      <c r="C10" s="520"/>
      <c r="D10" s="520"/>
      <c r="E10" s="520"/>
      <c r="F10" s="520"/>
      <c r="G10" s="520"/>
    </row>
    <row r="11" spans="1:7" ht="33">
      <c r="A11" s="263" t="s">
        <v>526</v>
      </c>
      <c r="B11" s="366" t="s">
        <v>1010</v>
      </c>
      <c r="C11" s="366" t="s">
        <v>1011</v>
      </c>
      <c r="D11" s="366" t="s">
        <v>1012</v>
      </c>
      <c r="E11" s="366" t="s">
        <v>1013</v>
      </c>
      <c r="F11" s="367" t="s">
        <v>1014</v>
      </c>
      <c r="G11" s="366" t="s">
        <v>1015</v>
      </c>
    </row>
    <row r="12" spans="1:7" ht="78">
      <c r="A12" s="521" t="s">
        <v>527</v>
      </c>
      <c r="B12" s="522" t="s">
        <v>1048</v>
      </c>
      <c r="C12" s="522" t="s">
        <v>1054</v>
      </c>
      <c r="D12" s="522" t="s">
        <v>1048</v>
      </c>
      <c r="E12" s="350" t="s">
        <v>1231</v>
      </c>
      <c r="F12" s="531" t="s">
        <v>1322</v>
      </c>
      <c r="G12" s="541" t="s">
        <v>536</v>
      </c>
    </row>
    <row r="13" spans="1:7" ht="136.5">
      <c r="A13" s="521"/>
      <c r="B13" s="522"/>
      <c r="C13" s="522"/>
      <c r="D13" s="522"/>
      <c r="E13" s="264" t="s">
        <v>1232</v>
      </c>
      <c r="F13" s="533"/>
      <c r="G13" s="541"/>
    </row>
    <row r="14" spans="1:7" ht="17.100000000000001" customHeight="1">
      <c r="A14" s="521" t="s">
        <v>528</v>
      </c>
      <c r="B14" s="522" t="s">
        <v>1052</v>
      </c>
      <c r="C14" s="522" t="s">
        <v>1053</v>
      </c>
      <c r="D14" s="522" t="s">
        <v>1052</v>
      </c>
      <c r="E14" s="534" t="s">
        <v>1233</v>
      </c>
      <c r="F14" s="531" t="s">
        <v>1323</v>
      </c>
      <c r="G14" s="541" t="s">
        <v>536</v>
      </c>
    </row>
    <row r="15" spans="1:7" ht="60" customHeight="1">
      <c r="A15" s="521"/>
      <c r="B15" s="522"/>
      <c r="C15" s="522"/>
      <c r="D15" s="522"/>
      <c r="E15" s="527"/>
      <c r="F15" s="533"/>
      <c r="G15" s="541"/>
    </row>
    <row r="16" spans="1:7" ht="63" customHeight="1">
      <c r="A16" s="521" t="s">
        <v>120</v>
      </c>
      <c r="B16" s="522" t="s">
        <v>1051</v>
      </c>
      <c r="C16" s="522" t="s">
        <v>1050</v>
      </c>
      <c r="D16" s="522" t="s">
        <v>1051</v>
      </c>
      <c r="E16" s="534" t="s">
        <v>1234</v>
      </c>
      <c r="F16" s="531" t="s">
        <v>1041</v>
      </c>
      <c r="G16" s="541" t="s">
        <v>536</v>
      </c>
    </row>
    <row r="17" spans="1:7">
      <c r="A17" s="521"/>
      <c r="B17" s="522"/>
      <c r="C17" s="522"/>
      <c r="D17" s="522"/>
      <c r="E17" s="527"/>
      <c r="F17" s="533"/>
      <c r="G17" s="541"/>
    </row>
    <row r="18" spans="1:7" ht="19.5" customHeight="1">
      <c r="A18" s="521" t="s">
        <v>124</v>
      </c>
      <c r="B18" s="522" t="s">
        <v>1048</v>
      </c>
      <c r="C18" s="522" t="s">
        <v>1049</v>
      </c>
      <c r="D18" s="522" t="s">
        <v>1048</v>
      </c>
      <c r="E18" s="534" t="s">
        <v>1235</v>
      </c>
      <c r="F18" s="531" t="s">
        <v>1041</v>
      </c>
      <c r="G18" s="541" t="s">
        <v>536</v>
      </c>
    </row>
    <row r="19" spans="1:7">
      <c r="A19" s="521"/>
      <c r="B19" s="522"/>
      <c r="C19" s="522"/>
      <c r="D19" s="522"/>
      <c r="E19" s="526"/>
      <c r="F19" s="532"/>
      <c r="G19" s="541"/>
    </row>
    <row r="20" spans="1:7">
      <c r="A20" s="521"/>
      <c r="B20" s="522"/>
      <c r="C20" s="522"/>
      <c r="D20" s="522"/>
      <c r="E20" s="526"/>
      <c r="F20" s="532"/>
      <c r="G20" s="541"/>
    </row>
    <row r="21" spans="1:7">
      <c r="A21" s="521"/>
      <c r="B21" s="522"/>
      <c r="C21" s="522"/>
      <c r="D21" s="522"/>
      <c r="E21" s="526"/>
      <c r="F21" s="532"/>
      <c r="G21" s="541"/>
    </row>
    <row r="22" spans="1:7">
      <c r="A22" s="521"/>
      <c r="B22" s="522"/>
      <c r="C22" s="522"/>
      <c r="D22" s="522"/>
      <c r="E22" s="527"/>
      <c r="F22" s="533"/>
      <c r="G22" s="541"/>
    </row>
    <row r="23" spans="1:7" ht="19.5" customHeight="1">
      <c r="A23" s="521" t="s">
        <v>125</v>
      </c>
      <c r="B23" s="538" t="s">
        <v>1047</v>
      </c>
      <c r="C23" s="538" t="s">
        <v>1046</v>
      </c>
      <c r="D23" s="531" t="s">
        <v>1047</v>
      </c>
      <c r="E23" s="264" t="s">
        <v>1236</v>
      </c>
      <c r="F23" s="531" t="s">
        <v>1041</v>
      </c>
      <c r="G23" s="541" t="s">
        <v>536</v>
      </c>
    </row>
    <row r="24" spans="1:7" ht="19.5">
      <c r="A24" s="521"/>
      <c r="B24" s="539"/>
      <c r="C24" s="539"/>
      <c r="D24" s="532"/>
      <c r="E24" s="264" t="s">
        <v>1237</v>
      </c>
      <c r="F24" s="532"/>
      <c r="G24" s="541"/>
    </row>
    <row r="25" spans="1:7" ht="19.5">
      <c r="A25" s="521"/>
      <c r="B25" s="539"/>
      <c r="C25" s="539"/>
      <c r="D25" s="532"/>
      <c r="E25" s="264" t="s">
        <v>1238</v>
      </c>
      <c r="F25" s="532"/>
      <c r="G25" s="541"/>
    </row>
    <row r="26" spans="1:7" ht="19.5">
      <c r="A26" s="521"/>
      <c r="B26" s="539"/>
      <c r="C26" s="539"/>
      <c r="D26" s="532"/>
      <c r="E26" s="264" t="s">
        <v>1239</v>
      </c>
      <c r="F26" s="532"/>
      <c r="G26" s="541"/>
    </row>
    <row r="27" spans="1:7" ht="19.5">
      <c r="A27" s="521"/>
      <c r="B27" s="540"/>
      <c r="C27" s="540"/>
      <c r="D27" s="533"/>
      <c r="E27" s="265"/>
      <c r="F27" s="533"/>
      <c r="G27" s="541"/>
    </row>
    <row r="28" spans="1:7" ht="17.100000000000001" customHeight="1"/>
    <row r="29" spans="1:7" ht="17.100000000000001" customHeight="1"/>
    <row r="30" spans="1:7" ht="17.100000000000001" customHeight="1"/>
  </sheetData>
  <mergeCells count="39">
    <mergeCell ref="A1:G1"/>
    <mergeCell ref="A2:G2"/>
    <mergeCell ref="A3:G3"/>
    <mergeCell ref="A4:G4"/>
    <mergeCell ref="A10:G10"/>
    <mergeCell ref="B8:E8"/>
    <mergeCell ref="A12:A13"/>
    <mergeCell ref="B12:B13"/>
    <mergeCell ref="C12:C13"/>
    <mergeCell ref="F12:F13"/>
    <mergeCell ref="G12:G13"/>
    <mergeCell ref="D12:D13"/>
    <mergeCell ref="A14:A15"/>
    <mergeCell ref="B14:B15"/>
    <mergeCell ref="C14:C15"/>
    <mergeCell ref="G14:G15"/>
    <mergeCell ref="F14:F15"/>
    <mergeCell ref="D14:D15"/>
    <mergeCell ref="E14:E15"/>
    <mergeCell ref="A16:A17"/>
    <mergeCell ref="B16:B17"/>
    <mergeCell ref="C16:C17"/>
    <mergeCell ref="G16:G17"/>
    <mergeCell ref="F16:F17"/>
    <mergeCell ref="D16:D17"/>
    <mergeCell ref="E16:E17"/>
    <mergeCell ref="A18:A22"/>
    <mergeCell ref="B18:B22"/>
    <mergeCell ref="C18:C22"/>
    <mergeCell ref="G18:G22"/>
    <mergeCell ref="F18:F22"/>
    <mergeCell ref="D18:D22"/>
    <mergeCell ref="E18:E22"/>
    <mergeCell ref="A23:A27"/>
    <mergeCell ref="B23:B27"/>
    <mergeCell ref="C23:C27"/>
    <mergeCell ref="G23:G27"/>
    <mergeCell ref="F23:F27"/>
    <mergeCell ref="D23:D27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rowBreaks count="2" manualBreakCount="2">
    <brk id="17" max="6" man="1"/>
    <brk id="2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82"/>
  <sheetViews>
    <sheetView view="pageBreakPreview" topLeftCell="A55" zoomScale="85" zoomScaleNormal="55" zoomScaleSheetLayoutView="85" workbookViewId="0">
      <selection activeCell="E98" sqref="E98"/>
    </sheetView>
  </sheetViews>
  <sheetFormatPr defaultColWidth="9" defaultRowHeight="16.5"/>
  <cols>
    <col min="1" max="1" width="5.875" style="261" bestFit="1" customWidth="1"/>
    <col min="2" max="4" width="22.625" style="261" customWidth="1"/>
    <col min="5" max="5" width="58.125" style="261" customWidth="1"/>
    <col min="6" max="6" width="17.625" style="261" customWidth="1"/>
    <col min="7" max="7" width="24.625" style="261" customWidth="1"/>
    <col min="8" max="8" width="11.125" style="261" bestFit="1" customWidth="1"/>
    <col min="9" max="255" width="9" style="261"/>
    <col min="256" max="256" width="4.125" style="261" customWidth="1"/>
    <col min="257" max="257" width="8.375" style="261" customWidth="1"/>
    <col min="258" max="258" width="12.5" style="261" customWidth="1"/>
    <col min="259" max="259" width="8.375" style="261" customWidth="1"/>
    <col min="260" max="260" width="20" style="261" customWidth="1"/>
    <col min="261" max="261" width="33.375" style="261" customWidth="1"/>
    <col min="262" max="262" width="13.375" style="261" customWidth="1"/>
    <col min="263" max="263" width="10" style="261" customWidth="1"/>
    <col min="264" max="264" width="11.125" style="261" bestFit="1" customWidth="1"/>
    <col min="265" max="511" width="9" style="261"/>
    <col min="512" max="512" width="4.125" style="261" customWidth="1"/>
    <col min="513" max="513" width="8.375" style="261" customWidth="1"/>
    <col min="514" max="514" width="12.5" style="261" customWidth="1"/>
    <col min="515" max="515" width="8.375" style="261" customWidth="1"/>
    <col min="516" max="516" width="20" style="261" customWidth="1"/>
    <col min="517" max="517" width="33.375" style="261" customWidth="1"/>
    <col min="518" max="518" width="13.375" style="261" customWidth="1"/>
    <col min="519" max="519" width="10" style="261" customWidth="1"/>
    <col min="520" max="520" width="11.125" style="261" bestFit="1" customWidth="1"/>
    <col min="521" max="767" width="9" style="261"/>
    <col min="768" max="768" width="4.125" style="261" customWidth="1"/>
    <col min="769" max="769" width="8.375" style="261" customWidth="1"/>
    <col min="770" max="770" width="12.5" style="261" customWidth="1"/>
    <col min="771" max="771" width="8.375" style="261" customWidth="1"/>
    <col min="772" max="772" width="20" style="261" customWidth="1"/>
    <col min="773" max="773" width="33.375" style="261" customWidth="1"/>
    <col min="774" max="774" width="13.375" style="261" customWidth="1"/>
    <col min="775" max="775" width="10" style="261" customWidth="1"/>
    <col min="776" max="776" width="11.125" style="261" bestFit="1" customWidth="1"/>
    <col min="777" max="1023" width="9" style="261"/>
    <col min="1024" max="1024" width="4.125" style="261" customWidth="1"/>
    <col min="1025" max="1025" width="8.375" style="261" customWidth="1"/>
    <col min="1026" max="1026" width="12.5" style="261" customWidth="1"/>
    <col min="1027" max="1027" width="8.375" style="261" customWidth="1"/>
    <col min="1028" max="1028" width="20" style="261" customWidth="1"/>
    <col min="1029" max="1029" width="33.375" style="261" customWidth="1"/>
    <col min="1030" max="1030" width="13.375" style="261" customWidth="1"/>
    <col min="1031" max="1031" width="10" style="261" customWidth="1"/>
    <col min="1032" max="1032" width="11.125" style="261" bestFit="1" customWidth="1"/>
    <col min="1033" max="1279" width="9" style="261"/>
    <col min="1280" max="1280" width="4.125" style="261" customWidth="1"/>
    <col min="1281" max="1281" width="8.375" style="261" customWidth="1"/>
    <col min="1282" max="1282" width="12.5" style="261" customWidth="1"/>
    <col min="1283" max="1283" width="8.375" style="261" customWidth="1"/>
    <col min="1284" max="1284" width="20" style="261" customWidth="1"/>
    <col min="1285" max="1285" width="33.375" style="261" customWidth="1"/>
    <col min="1286" max="1286" width="13.375" style="261" customWidth="1"/>
    <col min="1287" max="1287" width="10" style="261" customWidth="1"/>
    <col min="1288" max="1288" width="11.125" style="261" bestFit="1" customWidth="1"/>
    <col min="1289" max="1535" width="9" style="261"/>
    <col min="1536" max="1536" width="4.125" style="261" customWidth="1"/>
    <col min="1537" max="1537" width="8.375" style="261" customWidth="1"/>
    <col min="1538" max="1538" width="12.5" style="261" customWidth="1"/>
    <col min="1539" max="1539" width="8.375" style="261" customWidth="1"/>
    <col min="1540" max="1540" width="20" style="261" customWidth="1"/>
    <col min="1541" max="1541" width="33.375" style="261" customWidth="1"/>
    <col min="1542" max="1542" width="13.375" style="261" customWidth="1"/>
    <col min="1543" max="1543" width="10" style="261" customWidth="1"/>
    <col min="1544" max="1544" width="11.125" style="261" bestFit="1" customWidth="1"/>
    <col min="1545" max="1791" width="9" style="261"/>
    <col min="1792" max="1792" width="4.125" style="261" customWidth="1"/>
    <col min="1793" max="1793" width="8.375" style="261" customWidth="1"/>
    <col min="1794" max="1794" width="12.5" style="261" customWidth="1"/>
    <col min="1795" max="1795" width="8.375" style="261" customWidth="1"/>
    <col min="1796" max="1796" width="20" style="261" customWidth="1"/>
    <col min="1797" max="1797" width="33.375" style="261" customWidth="1"/>
    <col min="1798" max="1798" width="13.375" style="261" customWidth="1"/>
    <col min="1799" max="1799" width="10" style="261" customWidth="1"/>
    <col min="1800" max="1800" width="11.125" style="261" bestFit="1" customWidth="1"/>
    <col min="1801" max="2047" width="9" style="261"/>
    <col min="2048" max="2048" width="4.125" style="261" customWidth="1"/>
    <col min="2049" max="2049" width="8.375" style="261" customWidth="1"/>
    <col min="2050" max="2050" width="12.5" style="261" customWidth="1"/>
    <col min="2051" max="2051" width="8.375" style="261" customWidth="1"/>
    <col min="2052" max="2052" width="20" style="261" customWidth="1"/>
    <col min="2053" max="2053" width="33.375" style="261" customWidth="1"/>
    <col min="2054" max="2054" width="13.375" style="261" customWidth="1"/>
    <col min="2055" max="2055" width="10" style="261" customWidth="1"/>
    <col min="2056" max="2056" width="11.125" style="261" bestFit="1" customWidth="1"/>
    <col min="2057" max="2303" width="9" style="261"/>
    <col min="2304" max="2304" width="4.125" style="261" customWidth="1"/>
    <col min="2305" max="2305" width="8.375" style="261" customWidth="1"/>
    <col min="2306" max="2306" width="12.5" style="261" customWidth="1"/>
    <col min="2307" max="2307" width="8.375" style="261" customWidth="1"/>
    <col min="2308" max="2308" width="20" style="261" customWidth="1"/>
    <col min="2309" max="2309" width="33.375" style="261" customWidth="1"/>
    <col min="2310" max="2310" width="13.375" style="261" customWidth="1"/>
    <col min="2311" max="2311" width="10" style="261" customWidth="1"/>
    <col min="2312" max="2312" width="11.125" style="261" bestFit="1" customWidth="1"/>
    <col min="2313" max="2559" width="9" style="261"/>
    <col min="2560" max="2560" width="4.125" style="261" customWidth="1"/>
    <col min="2561" max="2561" width="8.375" style="261" customWidth="1"/>
    <col min="2562" max="2562" width="12.5" style="261" customWidth="1"/>
    <col min="2563" max="2563" width="8.375" style="261" customWidth="1"/>
    <col min="2564" max="2564" width="20" style="261" customWidth="1"/>
    <col min="2565" max="2565" width="33.375" style="261" customWidth="1"/>
    <col min="2566" max="2566" width="13.375" style="261" customWidth="1"/>
    <col min="2567" max="2567" width="10" style="261" customWidth="1"/>
    <col min="2568" max="2568" width="11.125" style="261" bestFit="1" customWidth="1"/>
    <col min="2569" max="2815" width="9" style="261"/>
    <col min="2816" max="2816" width="4.125" style="261" customWidth="1"/>
    <col min="2817" max="2817" width="8.375" style="261" customWidth="1"/>
    <col min="2818" max="2818" width="12.5" style="261" customWidth="1"/>
    <col min="2819" max="2819" width="8.375" style="261" customWidth="1"/>
    <col min="2820" max="2820" width="20" style="261" customWidth="1"/>
    <col min="2821" max="2821" width="33.375" style="261" customWidth="1"/>
    <col min="2822" max="2822" width="13.375" style="261" customWidth="1"/>
    <col min="2823" max="2823" width="10" style="261" customWidth="1"/>
    <col min="2824" max="2824" width="11.125" style="261" bestFit="1" customWidth="1"/>
    <col min="2825" max="3071" width="9" style="261"/>
    <col min="3072" max="3072" width="4.125" style="261" customWidth="1"/>
    <col min="3073" max="3073" width="8.375" style="261" customWidth="1"/>
    <col min="3074" max="3074" width="12.5" style="261" customWidth="1"/>
    <col min="3075" max="3075" width="8.375" style="261" customWidth="1"/>
    <col min="3076" max="3076" width="20" style="261" customWidth="1"/>
    <col min="3077" max="3077" width="33.375" style="261" customWidth="1"/>
    <col min="3078" max="3078" width="13.375" style="261" customWidth="1"/>
    <col min="3079" max="3079" width="10" style="261" customWidth="1"/>
    <col min="3080" max="3080" width="11.125" style="261" bestFit="1" customWidth="1"/>
    <col min="3081" max="3327" width="9" style="261"/>
    <col min="3328" max="3328" width="4.125" style="261" customWidth="1"/>
    <col min="3329" max="3329" width="8.375" style="261" customWidth="1"/>
    <col min="3330" max="3330" width="12.5" style="261" customWidth="1"/>
    <col min="3331" max="3331" width="8.375" style="261" customWidth="1"/>
    <col min="3332" max="3332" width="20" style="261" customWidth="1"/>
    <col min="3333" max="3333" width="33.375" style="261" customWidth="1"/>
    <col min="3334" max="3334" width="13.375" style="261" customWidth="1"/>
    <col min="3335" max="3335" width="10" style="261" customWidth="1"/>
    <col min="3336" max="3336" width="11.125" style="261" bestFit="1" customWidth="1"/>
    <col min="3337" max="3583" width="9" style="261"/>
    <col min="3584" max="3584" width="4.125" style="261" customWidth="1"/>
    <col min="3585" max="3585" width="8.375" style="261" customWidth="1"/>
    <col min="3586" max="3586" width="12.5" style="261" customWidth="1"/>
    <col min="3587" max="3587" width="8.375" style="261" customWidth="1"/>
    <col min="3588" max="3588" width="20" style="261" customWidth="1"/>
    <col min="3589" max="3589" width="33.375" style="261" customWidth="1"/>
    <col min="3590" max="3590" width="13.375" style="261" customWidth="1"/>
    <col min="3591" max="3591" width="10" style="261" customWidth="1"/>
    <col min="3592" max="3592" width="11.125" style="261" bestFit="1" customWidth="1"/>
    <col min="3593" max="3839" width="9" style="261"/>
    <col min="3840" max="3840" width="4.125" style="261" customWidth="1"/>
    <col min="3841" max="3841" width="8.375" style="261" customWidth="1"/>
    <col min="3842" max="3842" width="12.5" style="261" customWidth="1"/>
    <col min="3843" max="3843" width="8.375" style="261" customWidth="1"/>
    <col min="3844" max="3844" width="20" style="261" customWidth="1"/>
    <col min="3845" max="3845" width="33.375" style="261" customWidth="1"/>
    <col min="3846" max="3846" width="13.375" style="261" customWidth="1"/>
    <col min="3847" max="3847" width="10" style="261" customWidth="1"/>
    <col min="3848" max="3848" width="11.125" style="261" bestFit="1" customWidth="1"/>
    <col min="3849" max="4095" width="9" style="261"/>
    <col min="4096" max="4096" width="4.125" style="261" customWidth="1"/>
    <col min="4097" max="4097" width="8.375" style="261" customWidth="1"/>
    <col min="4098" max="4098" width="12.5" style="261" customWidth="1"/>
    <col min="4099" max="4099" width="8.375" style="261" customWidth="1"/>
    <col min="4100" max="4100" width="20" style="261" customWidth="1"/>
    <col min="4101" max="4101" width="33.375" style="261" customWidth="1"/>
    <col min="4102" max="4102" width="13.375" style="261" customWidth="1"/>
    <col min="4103" max="4103" width="10" style="261" customWidth="1"/>
    <col min="4104" max="4104" width="11.125" style="261" bestFit="1" customWidth="1"/>
    <col min="4105" max="4351" width="9" style="261"/>
    <col min="4352" max="4352" width="4.125" style="261" customWidth="1"/>
    <col min="4353" max="4353" width="8.375" style="261" customWidth="1"/>
    <col min="4354" max="4354" width="12.5" style="261" customWidth="1"/>
    <col min="4355" max="4355" width="8.375" style="261" customWidth="1"/>
    <col min="4356" max="4356" width="20" style="261" customWidth="1"/>
    <col min="4357" max="4357" width="33.375" style="261" customWidth="1"/>
    <col min="4358" max="4358" width="13.375" style="261" customWidth="1"/>
    <col min="4359" max="4359" width="10" style="261" customWidth="1"/>
    <col min="4360" max="4360" width="11.125" style="261" bestFit="1" customWidth="1"/>
    <col min="4361" max="4607" width="9" style="261"/>
    <col min="4608" max="4608" width="4.125" style="261" customWidth="1"/>
    <col min="4609" max="4609" width="8.375" style="261" customWidth="1"/>
    <col min="4610" max="4610" width="12.5" style="261" customWidth="1"/>
    <col min="4611" max="4611" width="8.375" style="261" customWidth="1"/>
    <col min="4612" max="4612" width="20" style="261" customWidth="1"/>
    <col min="4613" max="4613" width="33.375" style="261" customWidth="1"/>
    <col min="4614" max="4614" width="13.375" style="261" customWidth="1"/>
    <col min="4615" max="4615" width="10" style="261" customWidth="1"/>
    <col min="4616" max="4616" width="11.125" style="261" bestFit="1" customWidth="1"/>
    <col min="4617" max="4863" width="9" style="261"/>
    <col min="4864" max="4864" width="4.125" style="261" customWidth="1"/>
    <col min="4865" max="4865" width="8.375" style="261" customWidth="1"/>
    <col min="4866" max="4866" width="12.5" style="261" customWidth="1"/>
    <col min="4867" max="4867" width="8.375" style="261" customWidth="1"/>
    <col min="4868" max="4868" width="20" style="261" customWidth="1"/>
    <col min="4869" max="4869" width="33.375" style="261" customWidth="1"/>
    <col min="4870" max="4870" width="13.375" style="261" customWidth="1"/>
    <col min="4871" max="4871" width="10" style="261" customWidth="1"/>
    <col min="4872" max="4872" width="11.125" style="261" bestFit="1" customWidth="1"/>
    <col min="4873" max="5119" width="9" style="261"/>
    <col min="5120" max="5120" width="4.125" style="261" customWidth="1"/>
    <col min="5121" max="5121" width="8.375" style="261" customWidth="1"/>
    <col min="5122" max="5122" width="12.5" style="261" customWidth="1"/>
    <col min="5123" max="5123" width="8.375" style="261" customWidth="1"/>
    <col min="5124" max="5124" width="20" style="261" customWidth="1"/>
    <col min="5125" max="5125" width="33.375" style="261" customWidth="1"/>
    <col min="5126" max="5126" width="13.375" style="261" customWidth="1"/>
    <col min="5127" max="5127" width="10" style="261" customWidth="1"/>
    <col min="5128" max="5128" width="11.125" style="261" bestFit="1" customWidth="1"/>
    <col min="5129" max="5375" width="9" style="261"/>
    <col min="5376" max="5376" width="4.125" style="261" customWidth="1"/>
    <col min="5377" max="5377" width="8.375" style="261" customWidth="1"/>
    <col min="5378" max="5378" width="12.5" style="261" customWidth="1"/>
    <col min="5379" max="5379" width="8.375" style="261" customWidth="1"/>
    <col min="5380" max="5380" width="20" style="261" customWidth="1"/>
    <col min="5381" max="5381" width="33.375" style="261" customWidth="1"/>
    <col min="5382" max="5382" width="13.375" style="261" customWidth="1"/>
    <col min="5383" max="5383" width="10" style="261" customWidth="1"/>
    <col min="5384" max="5384" width="11.125" style="261" bestFit="1" customWidth="1"/>
    <col min="5385" max="5631" width="9" style="261"/>
    <col min="5632" max="5632" width="4.125" style="261" customWidth="1"/>
    <col min="5633" max="5633" width="8.375" style="261" customWidth="1"/>
    <col min="5634" max="5634" width="12.5" style="261" customWidth="1"/>
    <col min="5635" max="5635" width="8.375" style="261" customWidth="1"/>
    <col min="5636" max="5636" width="20" style="261" customWidth="1"/>
    <col min="5637" max="5637" width="33.375" style="261" customWidth="1"/>
    <col min="5638" max="5638" width="13.375" style="261" customWidth="1"/>
    <col min="5639" max="5639" width="10" style="261" customWidth="1"/>
    <col min="5640" max="5640" width="11.125" style="261" bestFit="1" customWidth="1"/>
    <col min="5641" max="5887" width="9" style="261"/>
    <col min="5888" max="5888" width="4.125" style="261" customWidth="1"/>
    <col min="5889" max="5889" width="8.375" style="261" customWidth="1"/>
    <col min="5890" max="5890" width="12.5" style="261" customWidth="1"/>
    <col min="5891" max="5891" width="8.375" style="261" customWidth="1"/>
    <col min="5892" max="5892" width="20" style="261" customWidth="1"/>
    <col min="5893" max="5893" width="33.375" style="261" customWidth="1"/>
    <col min="5894" max="5894" width="13.375" style="261" customWidth="1"/>
    <col min="5895" max="5895" width="10" style="261" customWidth="1"/>
    <col min="5896" max="5896" width="11.125" style="261" bestFit="1" customWidth="1"/>
    <col min="5897" max="6143" width="9" style="261"/>
    <col min="6144" max="6144" width="4.125" style="261" customWidth="1"/>
    <col min="6145" max="6145" width="8.375" style="261" customWidth="1"/>
    <col min="6146" max="6146" width="12.5" style="261" customWidth="1"/>
    <col min="6147" max="6147" width="8.375" style="261" customWidth="1"/>
    <col min="6148" max="6148" width="20" style="261" customWidth="1"/>
    <col min="6149" max="6149" width="33.375" style="261" customWidth="1"/>
    <col min="6150" max="6150" width="13.375" style="261" customWidth="1"/>
    <col min="6151" max="6151" width="10" style="261" customWidth="1"/>
    <col min="6152" max="6152" width="11.125" style="261" bestFit="1" customWidth="1"/>
    <col min="6153" max="6399" width="9" style="261"/>
    <col min="6400" max="6400" width="4.125" style="261" customWidth="1"/>
    <col min="6401" max="6401" width="8.375" style="261" customWidth="1"/>
    <col min="6402" max="6402" width="12.5" style="261" customWidth="1"/>
    <col min="6403" max="6403" width="8.375" style="261" customWidth="1"/>
    <col min="6404" max="6404" width="20" style="261" customWidth="1"/>
    <col min="6405" max="6405" width="33.375" style="261" customWidth="1"/>
    <col min="6406" max="6406" width="13.375" style="261" customWidth="1"/>
    <col min="6407" max="6407" width="10" style="261" customWidth="1"/>
    <col min="6408" max="6408" width="11.125" style="261" bestFit="1" customWidth="1"/>
    <col min="6409" max="6655" width="9" style="261"/>
    <col min="6656" max="6656" width="4.125" style="261" customWidth="1"/>
    <col min="6657" max="6657" width="8.375" style="261" customWidth="1"/>
    <col min="6658" max="6658" width="12.5" style="261" customWidth="1"/>
    <col min="6659" max="6659" width="8.375" style="261" customWidth="1"/>
    <col min="6660" max="6660" width="20" style="261" customWidth="1"/>
    <col min="6661" max="6661" width="33.375" style="261" customWidth="1"/>
    <col min="6662" max="6662" width="13.375" style="261" customWidth="1"/>
    <col min="6663" max="6663" width="10" style="261" customWidth="1"/>
    <col min="6664" max="6664" width="11.125" style="261" bestFit="1" customWidth="1"/>
    <col min="6665" max="6911" width="9" style="261"/>
    <col min="6912" max="6912" width="4.125" style="261" customWidth="1"/>
    <col min="6913" max="6913" width="8.375" style="261" customWidth="1"/>
    <col min="6914" max="6914" width="12.5" style="261" customWidth="1"/>
    <col min="6915" max="6915" width="8.375" style="261" customWidth="1"/>
    <col min="6916" max="6916" width="20" style="261" customWidth="1"/>
    <col min="6917" max="6917" width="33.375" style="261" customWidth="1"/>
    <col min="6918" max="6918" width="13.375" style="261" customWidth="1"/>
    <col min="6919" max="6919" width="10" style="261" customWidth="1"/>
    <col min="6920" max="6920" width="11.125" style="261" bestFit="1" customWidth="1"/>
    <col min="6921" max="7167" width="9" style="261"/>
    <col min="7168" max="7168" width="4.125" style="261" customWidth="1"/>
    <col min="7169" max="7169" width="8.375" style="261" customWidth="1"/>
    <col min="7170" max="7170" width="12.5" style="261" customWidth="1"/>
    <col min="7171" max="7171" width="8.375" style="261" customWidth="1"/>
    <col min="7172" max="7172" width="20" style="261" customWidth="1"/>
    <col min="7173" max="7173" width="33.375" style="261" customWidth="1"/>
    <col min="7174" max="7174" width="13.375" style="261" customWidth="1"/>
    <col min="7175" max="7175" width="10" style="261" customWidth="1"/>
    <col min="7176" max="7176" width="11.125" style="261" bestFit="1" customWidth="1"/>
    <col min="7177" max="7423" width="9" style="261"/>
    <col min="7424" max="7424" width="4.125" style="261" customWidth="1"/>
    <col min="7425" max="7425" width="8.375" style="261" customWidth="1"/>
    <col min="7426" max="7426" width="12.5" style="261" customWidth="1"/>
    <col min="7427" max="7427" width="8.375" style="261" customWidth="1"/>
    <col min="7428" max="7428" width="20" style="261" customWidth="1"/>
    <col min="7429" max="7429" width="33.375" style="261" customWidth="1"/>
    <col min="7430" max="7430" width="13.375" style="261" customWidth="1"/>
    <col min="7431" max="7431" width="10" style="261" customWidth="1"/>
    <col min="7432" max="7432" width="11.125" style="261" bestFit="1" customWidth="1"/>
    <col min="7433" max="7679" width="9" style="261"/>
    <col min="7680" max="7680" width="4.125" style="261" customWidth="1"/>
    <col min="7681" max="7681" width="8.375" style="261" customWidth="1"/>
    <col min="7682" max="7682" width="12.5" style="261" customWidth="1"/>
    <col min="7683" max="7683" width="8.375" style="261" customWidth="1"/>
    <col min="7684" max="7684" width="20" style="261" customWidth="1"/>
    <col min="7685" max="7685" width="33.375" style="261" customWidth="1"/>
    <col min="7686" max="7686" width="13.375" style="261" customWidth="1"/>
    <col min="7687" max="7687" width="10" style="261" customWidth="1"/>
    <col min="7688" max="7688" width="11.125" style="261" bestFit="1" customWidth="1"/>
    <col min="7689" max="7935" width="9" style="261"/>
    <col min="7936" max="7936" width="4.125" style="261" customWidth="1"/>
    <col min="7937" max="7937" width="8.375" style="261" customWidth="1"/>
    <col min="7938" max="7938" width="12.5" style="261" customWidth="1"/>
    <col min="7939" max="7939" width="8.375" style="261" customWidth="1"/>
    <col min="7940" max="7940" width="20" style="261" customWidth="1"/>
    <col min="7941" max="7941" width="33.375" style="261" customWidth="1"/>
    <col min="7942" max="7942" width="13.375" style="261" customWidth="1"/>
    <col min="7943" max="7943" width="10" style="261" customWidth="1"/>
    <col min="7944" max="7944" width="11.125" style="261" bestFit="1" customWidth="1"/>
    <col min="7945" max="8191" width="9" style="261"/>
    <col min="8192" max="8192" width="4.125" style="261" customWidth="1"/>
    <col min="8193" max="8193" width="8.375" style="261" customWidth="1"/>
    <col min="8194" max="8194" width="12.5" style="261" customWidth="1"/>
    <col min="8195" max="8195" width="8.375" style="261" customWidth="1"/>
    <col min="8196" max="8196" width="20" style="261" customWidth="1"/>
    <col min="8197" max="8197" width="33.375" style="261" customWidth="1"/>
    <col min="8198" max="8198" width="13.375" style="261" customWidth="1"/>
    <col min="8199" max="8199" width="10" style="261" customWidth="1"/>
    <col min="8200" max="8200" width="11.125" style="261" bestFit="1" customWidth="1"/>
    <col min="8201" max="8447" width="9" style="261"/>
    <col min="8448" max="8448" width="4.125" style="261" customWidth="1"/>
    <col min="8449" max="8449" width="8.375" style="261" customWidth="1"/>
    <col min="8450" max="8450" width="12.5" style="261" customWidth="1"/>
    <col min="8451" max="8451" width="8.375" style="261" customWidth="1"/>
    <col min="8452" max="8452" width="20" style="261" customWidth="1"/>
    <col min="8453" max="8453" width="33.375" style="261" customWidth="1"/>
    <col min="8454" max="8454" width="13.375" style="261" customWidth="1"/>
    <col min="8455" max="8455" width="10" style="261" customWidth="1"/>
    <col min="8456" max="8456" width="11.125" style="261" bestFit="1" customWidth="1"/>
    <col min="8457" max="8703" width="9" style="261"/>
    <col min="8704" max="8704" width="4.125" style="261" customWidth="1"/>
    <col min="8705" max="8705" width="8.375" style="261" customWidth="1"/>
    <col min="8706" max="8706" width="12.5" style="261" customWidth="1"/>
    <col min="8707" max="8707" width="8.375" style="261" customWidth="1"/>
    <col min="8708" max="8708" width="20" style="261" customWidth="1"/>
    <col min="8709" max="8709" width="33.375" style="261" customWidth="1"/>
    <col min="8710" max="8710" width="13.375" style="261" customWidth="1"/>
    <col min="8711" max="8711" width="10" style="261" customWidth="1"/>
    <col min="8712" max="8712" width="11.125" style="261" bestFit="1" customWidth="1"/>
    <col min="8713" max="8959" width="9" style="261"/>
    <col min="8960" max="8960" width="4.125" style="261" customWidth="1"/>
    <col min="8961" max="8961" width="8.375" style="261" customWidth="1"/>
    <col min="8962" max="8962" width="12.5" style="261" customWidth="1"/>
    <col min="8963" max="8963" width="8.375" style="261" customWidth="1"/>
    <col min="8964" max="8964" width="20" style="261" customWidth="1"/>
    <col min="8965" max="8965" width="33.375" style="261" customWidth="1"/>
    <col min="8966" max="8966" width="13.375" style="261" customWidth="1"/>
    <col min="8967" max="8967" width="10" style="261" customWidth="1"/>
    <col min="8968" max="8968" width="11.125" style="261" bestFit="1" customWidth="1"/>
    <col min="8969" max="9215" width="9" style="261"/>
    <col min="9216" max="9216" width="4.125" style="261" customWidth="1"/>
    <col min="9217" max="9217" width="8.375" style="261" customWidth="1"/>
    <col min="9218" max="9218" width="12.5" style="261" customWidth="1"/>
    <col min="9219" max="9219" width="8.375" style="261" customWidth="1"/>
    <col min="9220" max="9220" width="20" style="261" customWidth="1"/>
    <col min="9221" max="9221" width="33.375" style="261" customWidth="1"/>
    <col min="9222" max="9222" width="13.375" style="261" customWidth="1"/>
    <col min="9223" max="9223" width="10" style="261" customWidth="1"/>
    <col min="9224" max="9224" width="11.125" style="261" bestFit="1" customWidth="1"/>
    <col min="9225" max="9471" width="9" style="261"/>
    <col min="9472" max="9472" width="4.125" style="261" customWidth="1"/>
    <col min="9473" max="9473" width="8.375" style="261" customWidth="1"/>
    <col min="9474" max="9474" width="12.5" style="261" customWidth="1"/>
    <col min="9475" max="9475" width="8.375" style="261" customWidth="1"/>
    <col min="9476" max="9476" width="20" style="261" customWidth="1"/>
    <col min="9477" max="9477" width="33.375" style="261" customWidth="1"/>
    <col min="9478" max="9478" width="13.375" style="261" customWidth="1"/>
    <col min="9479" max="9479" width="10" style="261" customWidth="1"/>
    <col min="9480" max="9480" width="11.125" style="261" bestFit="1" customWidth="1"/>
    <col min="9481" max="9727" width="9" style="261"/>
    <col min="9728" max="9728" width="4.125" style="261" customWidth="1"/>
    <col min="9729" max="9729" width="8.375" style="261" customWidth="1"/>
    <col min="9730" max="9730" width="12.5" style="261" customWidth="1"/>
    <col min="9731" max="9731" width="8.375" style="261" customWidth="1"/>
    <col min="9732" max="9732" width="20" style="261" customWidth="1"/>
    <col min="9733" max="9733" width="33.375" style="261" customWidth="1"/>
    <col min="9734" max="9734" width="13.375" style="261" customWidth="1"/>
    <col min="9735" max="9735" width="10" style="261" customWidth="1"/>
    <col min="9736" max="9736" width="11.125" style="261" bestFit="1" customWidth="1"/>
    <col min="9737" max="9983" width="9" style="261"/>
    <col min="9984" max="9984" width="4.125" style="261" customWidth="1"/>
    <col min="9985" max="9985" width="8.375" style="261" customWidth="1"/>
    <col min="9986" max="9986" width="12.5" style="261" customWidth="1"/>
    <col min="9987" max="9987" width="8.375" style="261" customWidth="1"/>
    <col min="9988" max="9988" width="20" style="261" customWidth="1"/>
    <col min="9989" max="9989" width="33.375" style="261" customWidth="1"/>
    <col min="9990" max="9990" width="13.375" style="261" customWidth="1"/>
    <col min="9991" max="9991" width="10" style="261" customWidth="1"/>
    <col min="9992" max="9992" width="11.125" style="261" bestFit="1" customWidth="1"/>
    <col min="9993" max="10239" width="9" style="261"/>
    <col min="10240" max="10240" width="4.125" style="261" customWidth="1"/>
    <col min="10241" max="10241" width="8.375" style="261" customWidth="1"/>
    <col min="10242" max="10242" width="12.5" style="261" customWidth="1"/>
    <col min="10243" max="10243" width="8.375" style="261" customWidth="1"/>
    <col min="10244" max="10244" width="20" style="261" customWidth="1"/>
    <col min="10245" max="10245" width="33.375" style="261" customWidth="1"/>
    <col min="10246" max="10246" width="13.375" style="261" customWidth="1"/>
    <col min="10247" max="10247" width="10" style="261" customWidth="1"/>
    <col min="10248" max="10248" width="11.125" style="261" bestFit="1" customWidth="1"/>
    <col min="10249" max="10495" width="9" style="261"/>
    <col min="10496" max="10496" width="4.125" style="261" customWidth="1"/>
    <col min="10497" max="10497" width="8.375" style="261" customWidth="1"/>
    <col min="10498" max="10498" width="12.5" style="261" customWidth="1"/>
    <col min="10499" max="10499" width="8.375" style="261" customWidth="1"/>
    <col min="10500" max="10500" width="20" style="261" customWidth="1"/>
    <col min="10501" max="10501" width="33.375" style="261" customWidth="1"/>
    <col min="10502" max="10502" width="13.375" style="261" customWidth="1"/>
    <col min="10503" max="10503" width="10" style="261" customWidth="1"/>
    <col min="10504" max="10504" width="11.125" style="261" bestFit="1" customWidth="1"/>
    <col min="10505" max="10751" width="9" style="261"/>
    <col min="10752" max="10752" width="4.125" style="261" customWidth="1"/>
    <col min="10753" max="10753" width="8.375" style="261" customWidth="1"/>
    <col min="10754" max="10754" width="12.5" style="261" customWidth="1"/>
    <col min="10755" max="10755" width="8.375" style="261" customWidth="1"/>
    <col min="10756" max="10756" width="20" style="261" customWidth="1"/>
    <col min="10757" max="10757" width="33.375" style="261" customWidth="1"/>
    <col min="10758" max="10758" width="13.375" style="261" customWidth="1"/>
    <col min="10759" max="10759" width="10" style="261" customWidth="1"/>
    <col min="10760" max="10760" width="11.125" style="261" bestFit="1" customWidth="1"/>
    <col min="10761" max="11007" width="9" style="261"/>
    <col min="11008" max="11008" width="4.125" style="261" customWidth="1"/>
    <col min="11009" max="11009" width="8.375" style="261" customWidth="1"/>
    <col min="11010" max="11010" width="12.5" style="261" customWidth="1"/>
    <col min="11011" max="11011" width="8.375" style="261" customWidth="1"/>
    <col min="11012" max="11012" width="20" style="261" customWidth="1"/>
    <col min="11013" max="11013" width="33.375" style="261" customWidth="1"/>
    <col min="11014" max="11014" width="13.375" style="261" customWidth="1"/>
    <col min="11015" max="11015" width="10" style="261" customWidth="1"/>
    <col min="11016" max="11016" width="11.125" style="261" bestFit="1" customWidth="1"/>
    <col min="11017" max="11263" width="9" style="261"/>
    <col min="11264" max="11264" width="4.125" style="261" customWidth="1"/>
    <col min="11265" max="11265" width="8.375" style="261" customWidth="1"/>
    <col min="11266" max="11266" width="12.5" style="261" customWidth="1"/>
    <col min="11267" max="11267" width="8.375" style="261" customWidth="1"/>
    <col min="11268" max="11268" width="20" style="261" customWidth="1"/>
    <col min="11269" max="11269" width="33.375" style="261" customWidth="1"/>
    <col min="11270" max="11270" width="13.375" style="261" customWidth="1"/>
    <col min="11271" max="11271" width="10" style="261" customWidth="1"/>
    <col min="11272" max="11272" width="11.125" style="261" bestFit="1" customWidth="1"/>
    <col min="11273" max="11519" width="9" style="261"/>
    <col min="11520" max="11520" width="4.125" style="261" customWidth="1"/>
    <col min="11521" max="11521" width="8.375" style="261" customWidth="1"/>
    <col min="11522" max="11522" width="12.5" style="261" customWidth="1"/>
    <col min="11523" max="11523" width="8.375" style="261" customWidth="1"/>
    <col min="11524" max="11524" width="20" style="261" customWidth="1"/>
    <col min="11525" max="11525" width="33.375" style="261" customWidth="1"/>
    <col min="11526" max="11526" width="13.375" style="261" customWidth="1"/>
    <col min="11527" max="11527" width="10" style="261" customWidth="1"/>
    <col min="11528" max="11528" width="11.125" style="261" bestFit="1" customWidth="1"/>
    <col min="11529" max="11775" width="9" style="261"/>
    <col min="11776" max="11776" width="4.125" style="261" customWidth="1"/>
    <col min="11777" max="11777" width="8.375" style="261" customWidth="1"/>
    <col min="11778" max="11778" width="12.5" style="261" customWidth="1"/>
    <col min="11779" max="11779" width="8.375" style="261" customWidth="1"/>
    <col min="11780" max="11780" width="20" style="261" customWidth="1"/>
    <col min="11781" max="11781" width="33.375" style="261" customWidth="1"/>
    <col min="11782" max="11782" width="13.375" style="261" customWidth="1"/>
    <col min="11783" max="11783" width="10" style="261" customWidth="1"/>
    <col min="11784" max="11784" width="11.125" style="261" bestFit="1" customWidth="1"/>
    <col min="11785" max="12031" width="9" style="261"/>
    <col min="12032" max="12032" width="4.125" style="261" customWidth="1"/>
    <col min="12033" max="12033" width="8.375" style="261" customWidth="1"/>
    <col min="12034" max="12034" width="12.5" style="261" customWidth="1"/>
    <col min="12035" max="12035" width="8.375" style="261" customWidth="1"/>
    <col min="12036" max="12036" width="20" style="261" customWidth="1"/>
    <col min="12037" max="12037" width="33.375" style="261" customWidth="1"/>
    <col min="12038" max="12038" width="13.375" style="261" customWidth="1"/>
    <col min="12039" max="12039" width="10" style="261" customWidth="1"/>
    <col min="12040" max="12040" width="11.125" style="261" bestFit="1" customWidth="1"/>
    <col min="12041" max="12287" width="9" style="261"/>
    <col min="12288" max="12288" width="4.125" style="261" customWidth="1"/>
    <col min="12289" max="12289" width="8.375" style="261" customWidth="1"/>
    <col min="12290" max="12290" width="12.5" style="261" customWidth="1"/>
    <col min="12291" max="12291" width="8.375" style="261" customWidth="1"/>
    <col min="12292" max="12292" width="20" style="261" customWidth="1"/>
    <col min="12293" max="12293" width="33.375" style="261" customWidth="1"/>
    <col min="12294" max="12294" width="13.375" style="261" customWidth="1"/>
    <col min="12295" max="12295" width="10" style="261" customWidth="1"/>
    <col min="12296" max="12296" width="11.125" style="261" bestFit="1" customWidth="1"/>
    <col min="12297" max="12543" width="9" style="261"/>
    <col min="12544" max="12544" width="4.125" style="261" customWidth="1"/>
    <col min="12545" max="12545" width="8.375" style="261" customWidth="1"/>
    <col min="12546" max="12546" width="12.5" style="261" customWidth="1"/>
    <col min="12547" max="12547" width="8.375" style="261" customWidth="1"/>
    <col min="12548" max="12548" width="20" style="261" customWidth="1"/>
    <col min="12549" max="12549" width="33.375" style="261" customWidth="1"/>
    <col min="12550" max="12550" width="13.375" style="261" customWidth="1"/>
    <col min="12551" max="12551" width="10" style="261" customWidth="1"/>
    <col min="12552" max="12552" width="11.125" style="261" bestFit="1" customWidth="1"/>
    <col min="12553" max="12799" width="9" style="261"/>
    <col min="12800" max="12800" width="4.125" style="261" customWidth="1"/>
    <col min="12801" max="12801" width="8.375" style="261" customWidth="1"/>
    <col min="12802" max="12802" width="12.5" style="261" customWidth="1"/>
    <col min="12803" max="12803" width="8.375" style="261" customWidth="1"/>
    <col min="12804" max="12804" width="20" style="261" customWidth="1"/>
    <col min="12805" max="12805" width="33.375" style="261" customWidth="1"/>
    <col min="12806" max="12806" width="13.375" style="261" customWidth="1"/>
    <col min="12807" max="12807" width="10" style="261" customWidth="1"/>
    <col min="12808" max="12808" width="11.125" style="261" bestFit="1" customWidth="1"/>
    <col min="12809" max="13055" width="9" style="261"/>
    <col min="13056" max="13056" width="4.125" style="261" customWidth="1"/>
    <col min="13057" max="13057" width="8.375" style="261" customWidth="1"/>
    <col min="13058" max="13058" width="12.5" style="261" customWidth="1"/>
    <col min="13059" max="13059" width="8.375" style="261" customWidth="1"/>
    <col min="13060" max="13060" width="20" style="261" customWidth="1"/>
    <col min="13061" max="13061" width="33.375" style="261" customWidth="1"/>
    <col min="13062" max="13062" width="13.375" style="261" customWidth="1"/>
    <col min="13063" max="13063" width="10" style="261" customWidth="1"/>
    <col min="13064" max="13064" width="11.125" style="261" bestFit="1" customWidth="1"/>
    <col min="13065" max="13311" width="9" style="261"/>
    <col min="13312" max="13312" width="4.125" style="261" customWidth="1"/>
    <col min="13313" max="13313" width="8.375" style="261" customWidth="1"/>
    <col min="13314" max="13314" width="12.5" style="261" customWidth="1"/>
    <col min="13315" max="13315" width="8.375" style="261" customWidth="1"/>
    <col min="13316" max="13316" width="20" style="261" customWidth="1"/>
    <col min="13317" max="13317" width="33.375" style="261" customWidth="1"/>
    <col min="13318" max="13318" width="13.375" style="261" customWidth="1"/>
    <col min="13319" max="13319" width="10" style="261" customWidth="1"/>
    <col min="13320" max="13320" width="11.125" style="261" bestFit="1" customWidth="1"/>
    <col min="13321" max="13567" width="9" style="261"/>
    <col min="13568" max="13568" width="4.125" style="261" customWidth="1"/>
    <col min="13569" max="13569" width="8.375" style="261" customWidth="1"/>
    <col min="13570" max="13570" width="12.5" style="261" customWidth="1"/>
    <col min="13571" max="13571" width="8.375" style="261" customWidth="1"/>
    <col min="13572" max="13572" width="20" style="261" customWidth="1"/>
    <col min="13573" max="13573" width="33.375" style="261" customWidth="1"/>
    <col min="13574" max="13574" width="13.375" style="261" customWidth="1"/>
    <col min="13575" max="13575" width="10" style="261" customWidth="1"/>
    <col min="13576" max="13576" width="11.125" style="261" bestFit="1" customWidth="1"/>
    <col min="13577" max="13823" width="9" style="261"/>
    <col min="13824" max="13824" width="4.125" style="261" customWidth="1"/>
    <col min="13825" max="13825" width="8.375" style="261" customWidth="1"/>
    <col min="13826" max="13826" width="12.5" style="261" customWidth="1"/>
    <col min="13827" max="13827" width="8.375" style="261" customWidth="1"/>
    <col min="13828" max="13828" width="20" style="261" customWidth="1"/>
    <col min="13829" max="13829" width="33.375" style="261" customWidth="1"/>
    <col min="13830" max="13830" width="13.375" style="261" customWidth="1"/>
    <col min="13831" max="13831" width="10" style="261" customWidth="1"/>
    <col min="13832" max="13832" width="11.125" style="261" bestFit="1" customWidth="1"/>
    <col min="13833" max="14079" width="9" style="261"/>
    <col min="14080" max="14080" width="4.125" style="261" customWidth="1"/>
    <col min="14081" max="14081" width="8.375" style="261" customWidth="1"/>
    <col min="14082" max="14082" width="12.5" style="261" customWidth="1"/>
    <col min="14083" max="14083" width="8.375" style="261" customWidth="1"/>
    <col min="14084" max="14084" width="20" style="261" customWidth="1"/>
    <col min="14085" max="14085" width="33.375" style="261" customWidth="1"/>
    <col min="14086" max="14086" width="13.375" style="261" customWidth="1"/>
    <col min="14087" max="14087" width="10" style="261" customWidth="1"/>
    <col min="14088" max="14088" width="11.125" style="261" bestFit="1" customWidth="1"/>
    <col min="14089" max="14335" width="9" style="261"/>
    <col min="14336" max="14336" width="4.125" style="261" customWidth="1"/>
    <col min="14337" max="14337" width="8.375" style="261" customWidth="1"/>
    <col min="14338" max="14338" width="12.5" style="261" customWidth="1"/>
    <col min="14339" max="14339" width="8.375" style="261" customWidth="1"/>
    <col min="14340" max="14340" width="20" style="261" customWidth="1"/>
    <col min="14341" max="14341" width="33.375" style="261" customWidth="1"/>
    <col min="14342" max="14342" width="13.375" style="261" customWidth="1"/>
    <col min="14343" max="14343" width="10" style="261" customWidth="1"/>
    <col min="14344" max="14344" width="11.125" style="261" bestFit="1" customWidth="1"/>
    <col min="14345" max="14591" width="9" style="261"/>
    <col min="14592" max="14592" width="4.125" style="261" customWidth="1"/>
    <col min="14593" max="14593" width="8.375" style="261" customWidth="1"/>
    <col min="14594" max="14594" width="12.5" style="261" customWidth="1"/>
    <col min="14595" max="14595" width="8.375" style="261" customWidth="1"/>
    <col min="14596" max="14596" width="20" style="261" customWidth="1"/>
    <col min="14597" max="14597" width="33.375" style="261" customWidth="1"/>
    <col min="14598" max="14598" width="13.375" style="261" customWidth="1"/>
    <col min="14599" max="14599" width="10" style="261" customWidth="1"/>
    <col min="14600" max="14600" width="11.125" style="261" bestFit="1" customWidth="1"/>
    <col min="14601" max="14847" width="9" style="261"/>
    <col min="14848" max="14848" width="4.125" style="261" customWidth="1"/>
    <col min="14849" max="14849" width="8.375" style="261" customWidth="1"/>
    <col min="14850" max="14850" width="12.5" style="261" customWidth="1"/>
    <col min="14851" max="14851" width="8.375" style="261" customWidth="1"/>
    <col min="14852" max="14852" width="20" style="261" customWidth="1"/>
    <col min="14853" max="14853" width="33.375" style="261" customWidth="1"/>
    <col min="14854" max="14854" width="13.375" style="261" customWidth="1"/>
    <col min="14855" max="14855" width="10" style="261" customWidth="1"/>
    <col min="14856" max="14856" width="11.125" style="261" bestFit="1" customWidth="1"/>
    <col min="14857" max="15103" width="9" style="261"/>
    <col min="15104" max="15104" width="4.125" style="261" customWidth="1"/>
    <col min="15105" max="15105" width="8.375" style="261" customWidth="1"/>
    <col min="15106" max="15106" width="12.5" style="261" customWidth="1"/>
    <col min="15107" max="15107" width="8.375" style="261" customWidth="1"/>
    <col min="15108" max="15108" width="20" style="261" customWidth="1"/>
    <col min="15109" max="15109" width="33.375" style="261" customWidth="1"/>
    <col min="15110" max="15110" width="13.375" style="261" customWidth="1"/>
    <col min="15111" max="15111" width="10" style="261" customWidth="1"/>
    <col min="15112" max="15112" width="11.125" style="261" bestFit="1" customWidth="1"/>
    <col min="15113" max="15359" width="9" style="261"/>
    <col min="15360" max="15360" width="4.125" style="261" customWidth="1"/>
    <col min="15361" max="15361" width="8.375" style="261" customWidth="1"/>
    <col min="15362" max="15362" width="12.5" style="261" customWidth="1"/>
    <col min="15363" max="15363" width="8.375" style="261" customWidth="1"/>
    <col min="15364" max="15364" width="20" style="261" customWidth="1"/>
    <col min="15365" max="15365" width="33.375" style="261" customWidth="1"/>
    <col min="15366" max="15366" width="13.375" style="261" customWidth="1"/>
    <col min="15367" max="15367" width="10" style="261" customWidth="1"/>
    <col min="15368" max="15368" width="11.125" style="261" bestFit="1" customWidth="1"/>
    <col min="15369" max="15615" width="9" style="261"/>
    <col min="15616" max="15616" width="4.125" style="261" customWidth="1"/>
    <col min="15617" max="15617" width="8.375" style="261" customWidth="1"/>
    <col min="15618" max="15618" width="12.5" style="261" customWidth="1"/>
    <col min="15619" max="15619" width="8.375" style="261" customWidth="1"/>
    <col min="15620" max="15620" width="20" style="261" customWidth="1"/>
    <col min="15621" max="15621" width="33.375" style="261" customWidth="1"/>
    <col min="15622" max="15622" width="13.375" style="261" customWidth="1"/>
    <col min="15623" max="15623" width="10" style="261" customWidth="1"/>
    <col min="15624" max="15624" width="11.125" style="261" bestFit="1" customWidth="1"/>
    <col min="15625" max="15871" width="9" style="261"/>
    <col min="15872" max="15872" width="4.125" style="261" customWidth="1"/>
    <col min="15873" max="15873" width="8.375" style="261" customWidth="1"/>
    <col min="15874" max="15874" width="12.5" style="261" customWidth="1"/>
    <col min="15875" max="15875" width="8.375" style="261" customWidth="1"/>
    <col min="15876" max="15876" width="20" style="261" customWidth="1"/>
    <col min="15877" max="15877" width="33.375" style="261" customWidth="1"/>
    <col min="15878" max="15878" width="13.375" style="261" customWidth="1"/>
    <col min="15879" max="15879" width="10" style="261" customWidth="1"/>
    <col min="15880" max="15880" width="11.125" style="261" bestFit="1" customWidth="1"/>
    <col min="15881" max="16127" width="9" style="261"/>
    <col min="16128" max="16128" width="4.125" style="261" customWidth="1"/>
    <col min="16129" max="16129" width="8.375" style="261" customWidth="1"/>
    <col min="16130" max="16130" width="12.5" style="261" customWidth="1"/>
    <col min="16131" max="16131" width="8.375" style="261" customWidth="1"/>
    <col min="16132" max="16132" width="20" style="261" customWidth="1"/>
    <col min="16133" max="16133" width="33.375" style="261" customWidth="1"/>
    <col min="16134" max="16134" width="13.375" style="261" customWidth="1"/>
    <col min="16135" max="16135" width="10" style="261" customWidth="1"/>
    <col min="16136" max="16136" width="11.125" style="261" bestFit="1" customWidth="1"/>
    <col min="16137" max="16384" width="9" style="261"/>
  </cols>
  <sheetData>
    <row r="1" spans="1:7" ht="25.5">
      <c r="A1" s="515" t="s">
        <v>156</v>
      </c>
      <c r="B1" s="515"/>
      <c r="C1" s="515"/>
      <c r="D1" s="515"/>
      <c r="E1" s="515"/>
      <c r="F1" s="515"/>
      <c r="G1" s="515"/>
    </row>
    <row r="2" spans="1:7" ht="21">
      <c r="A2" s="516" t="s">
        <v>540</v>
      </c>
      <c r="B2" s="517"/>
      <c r="C2" s="517"/>
      <c r="D2" s="517"/>
      <c r="E2" s="517"/>
      <c r="F2" s="517"/>
      <c r="G2" s="517"/>
    </row>
    <row r="3" spans="1:7" ht="20.25">
      <c r="A3" s="518" t="s">
        <v>509</v>
      </c>
      <c r="B3" s="518"/>
      <c r="C3" s="518"/>
      <c r="D3" s="518"/>
      <c r="E3" s="518"/>
      <c r="F3" s="518"/>
      <c r="G3" s="518"/>
    </row>
    <row r="4" spans="1:7" ht="20.25">
      <c r="A4" s="519" t="s">
        <v>541</v>
      </c>
      <c r="B4" s="520"/>
      <c r="C4" s="520"/>
      <c r="D4" s="520"/>
      <c r="E4" s="520"/>
      <c r="F4" s="520"/>
      <c r="G4" s="520"/>
    </row>
    <row r="5" spans="1:7" ht="41.25" customHeight="1">
      <c r="A5" s="278" t="s">
        <v>510</v>
      </c>
      <c r="B5" s="546" t="s">
        <v>774</v>
      </c>
      <c r="C5" s="546"/>
      <c r="D5" s="546"/>
      <c r="E5" s="546"/>
      <c r="F5" s="546"/>
      <c r="G5" s="546"/>
    </row>
    <row r="6" spans="1:7" ht="19.5">
      <c r="A6" s="261" t="s">
        <v>512</v>
      </c>
      <c r="B6" s="277" t="s">
        <v>768</v>
      </c>
    </row>
    <row r="7" spans="1:7" ht="19.5">
      <c r="A7" s="261" t="s">
        <v>513</v>
      </c>
      <c r="B7" s="262" t="s">
        <v>767</v>
      </c>
    </row>
    <row r="8" spans="1:7" ht="19.5">
      <c r="A8" s="261" t="s">
        <v>515</v>
      </c>
      <c r="B8" s="262" t="s">
        <v>769</v>
      </c>
    </row>
    <row r="9" spans="1:7" ht="19.5">
      <c r="A9" s="261" t="s">
        <v>518</v>
      </c>
      <c r="B9" s="262" t="s">
        <v>770</v>
      </c>
    </row>
    <row r="10" spans="1:7" ht="19.5">
      <c r="A10" s="261" t="s">
        <v>519</v>
      </c>
      <c r="B10" s="262" t="s">
        <v>771</v>
      </c>
    </row>
    <row r="11" spans="1:7" ht="19.5">
      <c r="A11" s="261" t="s">
        <v>520</v>
      </c>
      <c r="B11" s="262" t="s">
        <v>772</v>
      </c>
    </row>
    <row r="12" spans="1:7" ht="19.5">
      <c r="A12" s="261" t="s">
        <v>521</v>
      </c>
      <c r="B12" s="262" t="s">
        <v>773</v>
      </c>
    </row>
    <row r="13" spans="1:7" ht="20.25">
      <c r="A13" s="520" t="s">
        <v>516</v>
      </c>
      <c r="B13" s="520"/>
      <c r="C13" s="520"/>
      <c r="D13" s="520"/>
      <c r="E13" s="520"/>
      <c r="F13" s="520"/>
      <c r="G13" s="520"/>
    </row>
    <row r="14" spans="1:7" ht="33">
      <c r="A14" s="263" t="s">
        <v>526</v>
      </c>
      <c r="B14" s="366" t="s">
        <v>1010</v>
      </c>
      <c r="C14" s="366" t="s">
        <v>1011</v>
      </c>
      <c r="D14" s="366" t="s">
        <v>1012</v>
      </c>
      <c r="E14" s="366" t="s">
        <v>1013</v>
      </c>
      <c r="F14" s="367" t="s">
        <v>1062</v>
      </c>
      <c r="G14" s="366" t="s">
        <v>1015</v>
      </c>
    </row>
    <row r="15" spans="1:7" ht="34.5" customHeight="1">
      <c r="A15" s="521" t="s">
        <v>527</v>
      </c>
      <c r="B15" s="545" t="s">
        <v>1066</v>
      </c>
      <c r="C15" s="544" t="s">
        <v>1071</v>
      </c>
      <c r="D15" s="545" t="s">
        <v>1066</v>
      </c>
      <c r="E15" s="360" t="s">
        <v>1240</v>
      </c>
      <c r="F15" s="528" t="s">
        <v>1057</v>
      </c>
      <c r="G15" s="521" t="s">
        <v>1056</v>
      </c>
    </row>
    <row r="16" spans="1:7" ht="17.25" customHeight="1">
      <c r="A16" s="521"/>
      <c r="B16" s="545"/>
      <c r="C16" s="544"/>
      <c r="D16" s="545"/>
      <c r="E16" s="264" t="s">
        <v>1067</v>
      </c>
      <c r="F16" s="529"/>
      <c r="G16" s="521"/>
    </row>
    <row r="17" spans="1:7" ht="17.25" customHeight="1">
      <c r="A17" s="521"/>
      <c r="B17" s="545"/>
      <c r="C17" s="544"/>
      <c r="D17" s="545"/>
      <c r="E17" s="264" t="s">
        <v>1068</v>
      </c>
      <c r="F17" s="529"/>
      <c r="G17" s="521"/>
    </row>
    <row r="18" spans="1:7" ht="17.25" customHeight="1">
      <c r="A18" s="521"/>
      <c r="B18" s="545"/>
      <c r="C18" s="544"/>
      <c r="D18" s="545"/>
      <c r="E18" s="264" t="s">
        <v>1069</v>
      </c>
      <c r="F18" s="529"/>
      <c r="G18" s="521"/>
    </row>
    <row r="19" spans="1:7" ht="35.25" customHeight="1">
      <c r="A19" s="521"/>
      <c r="B19" s="545"/>
      <c r="C19" s="544"/>
      <c r="D19" s="545"/>
      <c r="E19" s="264" t="s">
        <v>1241</v>
      </c>
      <c r="F19" s="529"/>
      <c r="G19" s="521"/>
    </row>
    <row r="20" spans="1:7" ht="35.25" customHeight="1">
      <c r="A20" s="521"/>
      <c r="B20" s="545"/>
      <c r="C20" s="544"/>
      <c r="D20" s="545"/>
      <c r="E20" s="264" t="s">
        <v>1242</v>
      </c>
      <c r="F20" s="529"/>
      <c r="G20" s="521"/>
    </row>
    <row r="21" spans="1:7" ht="35.25" customHeight="1">
      <c r="A21" s="521"/>
      <c r="B21" s="545"/>
      <c r="C21" s="544"/>
      <c r="D21" s="545"/>
      <c r="E21" s="264" t="s">
        <v>1070</v>
      </c>
      <c r="F21" s="529"/>
      <c r="G21" s="521"/>
    </row>
    <row r="22" spans="1:7" ht="35.25" customHeight="1">
      <c r="A22" s="521"/>
      <c r="B22" s="545"/>
      <c r="C22" s="544"/>
      <c r="D22" s="545"/>
      <c r="E22" s="264" t="s">
        <v>1243</v>
      </c>
      <c r="F22" s="529"/>
      <c r="G22" s="521"/>
    </row>
    <row r="23" spans="1:7" ht="17.25" customHeight="1">
      <c r="A23" s="521"/>
      <c r="B23" s="545"/>
      <c r="C23" s="544"/>
      <c r="D23" s="545"/>
      <c r="E23" s="264" t="s">
        <v>1244</v>
      </c>
      <c r="F23" s="529"/>
      <c r="G23" s="521"/>
    </row>
    <row r="24" spans="1:7" ht="17.25" customHeight="1">
      <c r="A24" s="521"/>
      <c r="B24" s="545"/>
      <c r="C24" s="544"/>
      <c r="D24" s="545"/>
      <c r="E24" s="264" t="s">
        <v>1245</v>
      </c>
      <c r="F24" s="529"/>
      <c r="G24" s="521"/>
    </row>
    <row r="25" spans="1:7" ht="17.25" customHeight="1">
      <c r="A25" s="521"/>
      <c r="B25" s="545"/>
      <c r="C25" s="544"/>
      <c r="D25" s="545"/>
      <c r="E25" s="264" t="s">
        <v>1246</v>
      </c>
      <c r="F25" s="529"/>
      <c r="G25" s="521"/>
    </row>
    <row r="26" spans="1:7" ht="17.25" customHeight="1">
      <c r="A26" s="521"/>
      <c r="B26" s="545"/>
      <c r="C26" s="544"/>
      <c r="D26" s="545"/>
      <c r="E26" s="264" t="s">
        <v>1247</v>
      </c>
      <c r="F26" s="529"/>
      <c r="G26" s="521"/>
    </row>
    <row r="27" spans="1:7" ht="17.25" customHeight="1">
      <c r="A27" s="521"/>
      <c r="B27" s="545"/>
      <c r="C27" s="544"/>
      <c r="D27" s="545"/>
      <c r="E27" s="268" t="s">
        <v>1248</v>
      </c>
      <c r="F27" s="529"/>
      <c r="G27" s="521"/>
    </row>
    <row r="28" spans="1:7" ht="17.25" customHeight="1">
      <c r="A28" s="521"/>
      <c r="B28" s="545"/>
      <c r="C28" s="544"/>
      <c r="D28" s="545"/>
      <c r="E28" s="264" t="s">
        <v>1249</v>
      </c>
      <c r="F28" s="529"/>
      <c r="G28" s="521"/>
    </row>
    <row r="29" spans="1:7" ht="17.25" customHeight="1">
      <c r="A29" s="521"/>
      <c r="B29" s="545"/>
      <c r="C29" s="544"/>
      <c r="D29" s="545"/>
      <c r="E29" s="268" t="s">
        <v>1250</v>
      </c>
      <c r="F29" s="529"/>
      <c r="G29" s="521"/>
    </row>
    <row r="30" spans="1:7" ht="17.25" customHeight="1">
      <c r="A30" s="521"/>
      <c r="B30" s="545"/>
      <c r="C30" s="544"/>
      <c r="D30" s="545"/>
      <c r="E30" s="368" t="s">
        <v>1251</v>
      </c>
      <c r="F30" s="530"/>
      <c r="G30" s="521"/>
    </row>
    <row r="31" spans="1:7" ht="58.5">
      <c r="A31" s="521" t="s">
        <v>528</v>
      </c>
      <c r="B31" s="543" t="s">
        <v>1072</v>
      </c>
      <c r="C31" s="544" t="s">
        <v>1073</v>
      </c>
      <c r="D31" s="543" t="s">
        <v>1072</v>
      </c>
      <c r="E31" s="360" t="s">
        <v>1252</v>
      </c>
      <c r="F31" s="528" t="s">
        <v>1058</v>
      </c>
      <c r="G31" s="521" t="s">
        <v>1056</v>
      </c>
    </row>
    <row r="32" spans="1:7" ht="19.5" customHeight="1">
      <c r="A32" s="521"/>
      <c r="B32" s="543"/>
      <c r="C32" s="544"/>
      <c r="D32" s="543"/>
      <c r="E32" s="268" t="s">
        <v>1253</v>
      </c>
      <c r="F32" s="529"/>
      <c r="G32" s="521"/>
    </row>
    <row r="33" spans="1:7" ht="19.5" customHeight="1">
      <c r="A33" s="521"/>
      <c r="B33" s="543"/>
      <c r="C33" s="544"/>
      <c r="D33" s="543"/>
      <c r="E33" s="268" t="s">
        <v>1254</v>
      </c>
      <c r="F33" s="529"/>
      <c r="G33" s="521"/>
    </row>
    <row r="34" spans="1:7" ht="19.5">
      <c r="A34" s="521"/>
      <c r="B34" s="543"/>
      <c r="C34" s="544"/>
      <c r="D34" s="543"/>
      <c r="E34" s="268" t="s">
        <v>1255</v>
      </c>
      <c r="F34" s="529"/>
      <c r="G34" s="521"/>
    </row>
    <row r="35" spans="1:7" ht="19.5" customHeight="1">
      <c r="A35" s="521"/>
      <c r="B35" s="543"/>
      <c r="C35" s="544"/>
      <c r="D35" s="543"/>
      <c r="E35" s="268" t="s">
        <v>1256</v>
      </c>
      <c r="F35" s="529"/>
      <c r="G35" s="521"/>
    </row>
    <row r="36" spans="1:7" ht="19.5">
      <c r="A36" s="521"/>
      <c r="B36" s="543"/>
      <c r="C36" s="544"/>
      <c r="D36" s="543"/>
      <c r="E36" s="268" t="s">
        <v>1257</v>
      </c>
      <c r="F36" s="529"/>
      <c r="G36" s="521"/>
    </row>
    <row r="37" spans="1:7" ht="19.5" customHeight="1">
      <c r="A37" s="521"/>
      <c r="B37" s="543"/>
      <c r="C37" s="544"/>
      <c r="D37" s="543"/>
      <c r="E37" s="268" t="s">
        <v>1258</v>
      </c>
      <c r="F37" s="529"/>
      <c r="G37" s="521"/>
    </row>
    <row r="38" spans="1:7" ht="19.5" customHeight="1">
      <c r="A38" s="521"/>
      <c r="B38" s="543"/>
      <c r="C38" s="544"/>
      <c r="D38" s="543"/>
      <c r="E38" s="268" t="s">
        <v>1259</v>
      </c>
      <c r="F38" s="529"/>
      <c r="G38" s="521"/>
    </row>
    <row r="39" spans="1:7" ht="18.75">
      <c r="A39" s="521"/>
      <c r="B39" s="543"/>
      <c r="C39" s="544"/>
      <c r="D39" s="543"/>
      <c r="E39" s="268" t="s">
        <v>1260</v>
      </c>
      <c r="F39" s="529"/>
      <c r="G39" s="521"/>
    </row>
    <row r="40" spans="1:7" ht="19.5">
      <c r="A40" s="521"/>
      <c r="B40" s="543"/>
      <c r="C40" s="544"/>
      <c r="D40" s="543"/>
      <c r="E40" s="369" t="s">
        <v>1293</v>
      </c>
      <c r="F40" s="529"/>
      <c r="G40" s="521"/>
    </row>
    <row r="41" spans="1:7" ht="78">
      <c r="A41" s="521" t="s">
        <v>120</v>
      </c>
      <c r="B41" s="543" t="s">
        <v>1074</v>
      </c>
      <c r="C41" s="544" t="s">
        <v>1075</v>
      </c>
      <c r="D41" s="543" t="s">
        <v>1074</v>
      </c>
      <c r="E41" s="360" t="s">
        <v>1261</v>
      </c>
      <c r="F41" s="528" t="s">
        <v>1058</v>
      </c>
      <c r="G41" s="521" t="s">
        <v>1055</v>
      </c>
    </row>
    <row r="42" spans="1:7" ht="19.5">
      <c r="A42" s="521"/>
      <c r="B42" s="543"/>
      <c r="C42" s="544"/>
      <c r="D42" s="543"/>
      <c r="E42" s="264" t="s">
        <v>1262</v>
      </c>
      <c r="F42" s="529"/>
      <c r="G42" s="521"/>
    </row>
    <row r="43" spans="1:7" ht="19.5" customHeight="1">
      <c r="A43" s="521"/>
      <c r="B43" s="543"/>
      <c r="C43" s="544"/>
      <c r="D43" s="543"/>
      <c r="E43" s="264" t="s">
        <v>775</v>
      </c>
      <c r="F43" s="529"/>
      <c r="G43" s="521"/>
    </row>
    <row r="44" spans="1:7" ht="19.5">
      <c r="A44" s="521"/>
      <c r="B44" s="543"/>
      <c r="C44" s="544"/>
      <c r="D44" s="543"/>
      <c r="E44" s="264" t="s">
        <v>1263</v>
      </c>
      <c r="F44" s="529"/>
      <c r="G44" s="521"/>
    </row>
    <row r="45" spans="1:7" ht="19.5">
      <c r="A45" s="521"/>
      <c r="B45" s="543"/>
      <c r="C45" s="544"/>
      <c r="D45" s="543"/>
      <c r="E45" s="369" t="s">
        <v>1264</v>
      </c>
      <c r="F45" s="529"/>
      <c r="G45" s="521"/>
    </row>
    <row r="46" spans="1:7" ht="19.5" customHeight="1">
      <c r="A46" s="521" t="s">
        <v>124</v>
      </c>
      <c r="B46" s="543" t="s">
        <v>1078</v>
      </c>
      <c r="C46" s="544" t="s">
        <v>1077</v>
      </c>
      <c r="D46" s="543" t="s">
        <v>1076</v>
      </c>
      <c r="E46" s="534" t="s">
        <v>1265</v>
      </c>
      <c r="F46" s="528" t="s">
        <v>1059</v>
      </c>
      <c r="G46" s="521" t="s">
        <v>1056</v>
      </c>
    </row>
    <row r="47" spans="1:7" ht="17.100000000000001" customHeight="1">
      <c r="A47" s="521"/>
      <c r="B47" s="543"/>
      <c r="C47" s="544"/>
      <c r="D47" s="543"/>
      <c r="E47" s="526"/>
      <c r="F47" s="529"/>
      <c r="G47" s="521"/>
    </row>
    <row r="48" spans="1:7" ht="17.100000000000001" customHeight="1">
      <c r="A48" s="521"/>
      <c r="B48" s="543"/>
      <c r="C48" s="544"/>
      <c r="D48" s="543"/>
      <c r="E48" s="526"/>
      <c r="F48" s="529"/>
      <c r="G48" s="521"/>
    </row>
    <row r="49" spans="1:7" ht="30.95" customHeight="1">
      <c r="A49" s="521"/>
      <c r="B49" s="543"/>
      <c r="C49" s="544"/>
      <c r="D49" s="543"/>
      <c r="E49" s="527"/>
      <c r="F49" s="530"/>
      <c r="G49" s="521"/>
    </row>
    <row r="50" spans="1:7" ht="117">
      <c r="A50" s="329" t="s">
        <v>125</v>
      </c>
      <c r="B50" s="333" t="s">
        <v>1079</v>
      </c>
      <c r="C50" s="330" t="s">
        <v>1081</v>
      </c>
      <c r="D50" s="333" t="s">
        <v>1079</v>
      </c>
      <c r="E50" s="335" t="s">
        <v>1266</v>
      </c>
      <c r="F50" s="361" t="s">
        <v>1058</v>
      </c>
      <c r="G50" s="329" t="s">
        <v>1056</v>
      </c>
    </row>
    <row r="51" spans="1:7" ht="58.5">
      <c r="A51" s="521" t="s">
        <v>529</v>
      </c>
      <c r="B51" s="543" t="s">
        <v>1080</v>
      </c>
      <c r="C51" s="544" t="s">
        <v>1082</v>
      </c>
      <c r="D51" s="543" t="s">
        <v>1080</v>
      </c>
      <c r="E51" s="360" t="s">
        <v>1267</v>
      </c>
      <c r="F51" s="528" t="s">
        <v>1060</v>
      </c>
      <c r="G51" s="521" t="s">
        <v>1056</v>
      </c>
    </row>
    <row r="52" spans="1:7" ht="19.5">
      <c r="A52" s="521"/>
      <c r="B52" s="543"/>
      <c r="C52" s="544"/>
      <c r="D52" s="543"/>
      <c r="E52" s="264" t="s">
        <v>1268</v>
      </c>
      <c r="F52" s="529"/>
      <c r="G52" s="521"/>
    </row>
    <row r="53" spans="1:7" ht="19.5">
      <c r="A53" s="521"/>
      <c r="B53" s="543"/>
      <c r="C53" s="544"/>
      <c r="D53" s="543"/>
      <c r="E53" s="264" t="s">
        <v>1269</v>
      </c>
      <c r="F53" s="529"/>
      <c r="G53" s="521"/>
    </row>
    <row r="54" spans="1:7" ht="19.5">
      <c r="A54" s="521"/>
      <c r="B54" s="543"/>
      <c r="C54" s="544"/>
      <c r="D54" s="543"/>
      <c r="E54" s="264" t="s">
        <v>1270</v>
      </c>
      <c r="F54" s="529"/>
      <c r="G54" s="521"/>
    </row>
    <row r="55" spans="1:7" ht="19.5" customHeight="1">
      <c r="A55" s="521"/>
      <c r="B55" s="543"/>
      <c r="C55" s="544"/>
      <c r="D55" s="543"/>
      <c r="E55" s="264" t="s">
        <v>1271</v>
      </c>
      <c r="F55" s="529"/>
      <c r="G55" s="521"/>
    </row>
    <row r="56" spans="1:7" ht="19.5">
      <c r="A56" s="521"/>
      <c r="B56" s="543"/>
      <c r="C56" s="544"/>
      <c r="D56" s="543"/>
      <c r="E56" s="264" t="s">
        <v>1272</v>
      </c>
      <c r="F56" s="529"/>
      <c r="G56" s="521"/>
    </row>
    <row r="57" spans="1:7" ht="19.5">
      <c r="A57" s="521"/>
      <c r="B57" s="543"/>
      <c r="C57" s="544"/>
      <c r="D57" s="543"/>
      <c r="E57" s="264" t="s">
        <v>1273</v>
      </c>
      <c r="F57" s="529"/>
      <c r="G57" s="521"/>
    </row>
    <row r="58" spans="1:7" ht="19.5">
      <c r="A58" s="521"/>
      <c r="B58" s="543"/>
      <c r="C58" s="544"/>
      <c r="D58" s="543"/>
      <c r="E58" s="264" t="s">
        <v>1274</v>
      </c>
      <c r="F58" s="529"/>
      <c r="G58" s="521"/>
    </row>
    <row r="59" spans="1:7" ht="19.5" customHeight="1">
      <c r="A59" s="521"/>
      <c r="B59" s="543"/>
      <c r="C59" s="544"/>
      <c r="D59" s="543"/>
      <c r="E59" s="264" t="s">
        <v>1275</v>
      </c>
      <c r="F59" s="529"/>
      <c r="G59" s="521"/>
    </row>
    <row r="60" spans="1:7" ht="19.5" customHeight="1">
      <c r="A60" s="521"/>
      <c r="B60" s="543"/>
      <c r="C60" s="544"/>
      <c r="D60" s="543"/>
      <c r="E60" s="264" t="s">
        <v>1276</v>
      </c>
      <c r="F60" s="529"/>
      <c r="G60" s="521"/>
    </row>
    <row r="61" spans="1:7" ht="19.5">
      <c r="A61" s="521"/>
      <c r="B61" s="543"/>
      <c r="C61" s="544"/>
      <c r="D61" s="543"/>
      <c r="E61" s="264" t="s">
        <v>1277</v>
      </c>
      <c r="F61" s="529"/>
      <c r="G61" s="521"/>
    </row>
    <row r="62" spans="1:7" ht="19.5">
      <c r="A62" s="521"/>
      <c r="B62" s="543"/>
      <c r="C62" s="544"/>
      <c r="D62" s="543"/>
      <c r="E62" s="264" t="s">
        <v>1278</v>
      </c>
      <c r="F62" s="529"/>
      <c r="G62" s="521"/>
    </row>
    <row r="63" spans="1:7" ht="19.5">
      <c r="A63" s="521"/>
      <c r="B63" s="543"/>
      <c r="C63" s="544"/>
      <c r="D63" s="543"/>
      <c r="E63" s="264" t="s">
        <v>1279</v>
      </c>
      <c r="F63" s="529"/>
      <c r="G63" s="521"/>
    </row>
    <row r="64" spans="1:7" ht="19.5">
      <c r="A64" s="521"/>
      <c r="B64" s="543"/>
      <c r="C64" s="544"/>
      <c r="D64" s="543"/>
      <c r="E64" s="264" t="s">
        <v>1280</v>
      </c>
      <c r="F64" s="529"/>
      <c r="G64" s="521"/>
    </row>
    <row r="65" spans="1:7" ht="19.5">
      <c r="A65" s="521"/>
      <c r="B65" s="543"/>
      <c r="C65" s="544"/>
      <c r="D65" s="543"/>
      <c r="E65" s="369" t="s">
        <v>1281</v>
      </c>
      <c r="F65" s="529"/>
      <c r="G65" s="521"/>
    </row>
    <row r="66" spans="1:7" ht="17.100000000000001" customHeight="1">
      <c r="A66" s="521" t="s">
        <v>530</v>
      </c>
      <c r="B66" s="543" t="s">
        <v>1083</v>
      </c>
      <c r="C66" s="544" t="s">
        <v>1084</v>
      </c>
      <c r="D66" s="543" t="s">
        <v>1083</v>
      </c>
      <c r="E66" s="534" t="s">
        <v>1282</v>
      </c>
      <c r="F66" s="528" t="s">
        <v>1061</v>
      </c>
      <c r="G66" s="521" t="s">
        <v>1055</v>
      </c>
    </row>
    <row r="67" spans="1:7" ht="17.100000000000001" customHeight="1">
      <c r="A67" s="521"/>
      <c r="B67" s="543"/>
      <c r="C67" s="544"/>
      <c r="D67" s="543"/>
      <c r="E67" s="526"/>
      <c r="F67" s="529"/>
      <c r="G67" s="521"/>
    </row>
    <row r="68" spans="1:7" ht="17.100000000000001" customHeight="1">
      <c r="A68" s="521"/>
      <c r="B68" s="543"/>
      <c r="C68" s="544"/>
      <c r="D68" s="543"/>
      <c r="E68" s="526"/>
      <c r="F68" s="529"/>
      <c r="G68" s="521"/>
    </row>
    <row r="69" spans="1:7" ht="17.100000000000001" customHeight="1">
      <c r="A69" s="521"/>
      <c r="B69" s="543"/>
      <c r="C69" s="544"/>
      <c r="D69" s="543"/>
      <c r="E69" s="526"/>
      <c r="F69" s="529"/>
      <c r="G69" s="521"/>
    </row>
    <row r="70" spans="1:7" ht="17.100000000000001" customHeight="1">
      <c r="A70" s="521"/>
      <c r="B70" s="543"/>
      <c r="C70" s="544"/>
      <c r="D70" s="543"/>
      <c r="E70" s="527"/>
      <c r="F70" s="530"/>
      <c r="G70" s="521"/>
    </row>
    <row r="71" spans="1:7" ht="18.75">
      <c r="A71" s="521" t="s">
        <v>531</v>
      </c>
      <c r="B71" s="543" t="s">
        <v>1064</v>
      </c>
      <c r="C71" s="544" t="s">
        <v>1063</v>
      </c>
      <c r="D71" s="528" t="s">
        <v>1065</v>
      </c>
      <c r="E71" s="362" t="s">
        <v>1326</v>
      </c>
      <c r="F71" s="528" t="s">
        <v>1059</v>
      </c>
      <c r="G71" s="521" t="s">
        <v>1056</v>
      </c>
    </row>
    <row r="72" spans="1:7" ht="18.75">
      <c r="A72" s="521"/>
      <c r="B72" s="543"/>
      <c r="C72" s="544"/>
      <c r="D72" s="526"/>
      <c r="E72" s="268" t="s">
        <v>1327</v>
      </c>
      <c r="F72" s="529"/>
      <c r="G72" s="521"/>
    </row>
    <row r="73" spans="1:7" ht="18.75">
      <c r="A73" s="521"/>
      <c r="B73" s="543"/>
      <c r="C73" s="544"/>
      <c r="D73" s="526"/>
      <c r="E73" s="268" t="s">
        <v>1283</v>
      </c>
      <c r="F73" s="529"/>
      <c r="G73" s="521"/>
    </row>
    <row r="74" spans="1:7" ht="18.75">
      <c r="A74" s="521"/>
      <c r="B74" s="543"/>
      <c r="C74" s="544"/>
      <c r="D74" s="526"/>
      <c r="E74" s="268" t="s">
        <v>1284</v>
      </c>
      <c r="F74" s="529"/>
      <c r="G74" s="521"/>
    </row>
    <row r="75" spans="1:7" ht="18.75">
      <c r="A75" s="521"/>
      <c r="B75" s="543"/>
      <c r="C75" s="544"/>
      <c r="D75" s="526"/>
      <c r="E75" s="268" t="s">
        <v>1285</v>
      </c>
      <c r="F75" s="529"/>
      <c r="G75" s="521"/>
    </row>
    <row r="76" spans="1:7" ht="18.75">
      <c r="A76" s="521"/>
      <c r="B76" s="543"/>
      <c r="C76" s="544"/>
      <c r="D76" s="526"/>
      <c r="E76" s="268" t="s">
        <v>1286</v>
      </c>
      <c r="F76" s="529"/>
      <c r="G76" s="521"/>
    </row>
    <row r="77" spans="1:7" ht="18.75">
      <c r="A77" s="521"/>
      <c r="B77" s="543"/>
      <c r="C77" s="544"/>
      <c r="D77" s="526"/>
      <c r="E77" s="268" t="s">
        <v>1287</v>
      </c>
      <c r="F77" s="529"/>
      <c r="G77" s="521"/>
    </row>
    <row r="78" spans="1:7" ht="18.75">
      <c r="A78" s="521"/>
      <c r="B78" s="543"/>
      <c r="C78" s="544"/>
      <c r="D78" s="526"/>
      <c r="E78" s="268" t="s">
        <v>1288</v>
      </c>
      <c r="F78" s="529"/>
      <c r="G78" s="521"/>
    </row>
    <row r="79" spans="1:7" ht="18.75">
      <c r="A79" s="521"/>
      <c r="B79" s="543"/>
      <c r="C79" s="544"/>
      <c r="D79" s="526"/>
      <c r="E79" s="268" t="s">
        <v>1289</v>
      </c>
      <c r="F79" s="529"/>
      <c r="G79" s="521"/>
    </row>
    <row r="80" spans="1:7" ht="18.75">
      <c r="A80" s="521"/>
      <c r="B80" s="543"/>
      <c r="C80" s="544"/>
      <c r="D80" s="526"/>
      <c r="E80" s="268" t="s">
        <v>1290</v>
      </c>
      <c r="F80" s="529"/>
      <c r="G80" s="521"/>
    </row>
    <row r="81" spans="1:7" ht="18.75">
      <c r="A81" s="521"/>
      <c r="B81" s="543"/>
      <c r="C81" s="544"/>
      <c r="D81" s="526"/>
      <c r="E81" s="268" t="s">
        <v>1291</v>
      </c>
      <c r="F81" s="529"/>
      <c r="G81" s="521"/>
    </row>
    <row r="82" spans="1:7" ht="18.75">
      <c r="A82" s="521"/>
      <c r="B82" s="543"/>
      <c r="C82" s="544"/>
      <c r="D82" s="527"/>
      <c r="E82" s="368" t="s">
        <v>1292</v>
      </c>
      <c r="F82" s="530"/>
      <c r="G82" s="521"/>
    </row>
  </sheetData>
  <mergeCells count="50">
    <mergeCell ref="A1:G1"/>
    <mergeCell ref="A2:G2"/>
    <mergeCell ref="A3:G3"/>
    <mergeCell ref="A4:G4"/>
    <mergeCell ref="A13:G13"/>
    <mergeCell ref="B5:G5"/>
    <mergeCell ref="A15:A30"/>
    <mergeCell ref="C15:C30"/>
    <mergeCell ref="F15:F30"/>
    <mergeCell ref="G15:G30"/>
    <mergeCell ref="B15:B30"/>
    <mergeCell ref="D15:D30"/>
    <mergeCell ref="A31:A40"/>
    <mergeCell ref="B31:B40"/>
    <mergeCell ref="C31:C40"/>
    <mergeCell ref="F31:F40"/>
    <mergeCell ref="G31:G40"/>
    <mergeCell ref="D31:D40"/>
    <mergeCell ref="A41:A45"/>
    <mergeCell ref="B41:B45"/>
    <mergeCell ref="C41:C45"/>
    <mergeCell ref="F41:F45"/>
    <mergeCell ref="G41:G45"/>
    <mergeCell ref="D41:D45"/>
    <mergeCell ref="A46:A49"/>
    <mergeCell ref="B46:B49"/>
    <mergeCell ref="C46:C49"/>
    <mergeCell ref="F46:F49"/>
    <mergeCell ref="G46:G49"/>
    <mergeCell ref="D46:D49"/>
    <mergeCell ref="E46:E49"/>
    <mergeCell ref="A51:A65"/>
    <mergeCell ref="B51:B65"/>
    <mergeCell ref="C51:C65"/>
    <mergeCell ref="F51:F65"/>
    <mergeCell ref="G51:G65"/>
    <mergeCell ref="D51:D65"/>
    <mergeCell ref="A66:A70"/>
    <mergeCell ref="B66:B70"/>
    <mergeCell ref="C66:C70"/>
    <mergeCell ref="F66:F70"/>
    <mergeCell ref="G66:G70"/>
    <mergeCell ref="D66:D70"/>
    <mergeCell ref="E66:E70"/>
    <mergeCell ref="A71:A82"/>
    <mergeCell ref="B71:B82"/>
    <mergeCell ref="C71:C82"/>
    <mergeCell ref="F71:F82"/>
    <mergeCell ref="G71:G82"/>
    <mergeCell ref="D71:D8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rowBreaks count="2" manualBreakCount="2">
    <brk id="30" max="6" man="1"/>
    <brk id="50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111"/>
  <sheetViews>
    <sheetView topLeftCell="A4" zoomScale="85" zoomScaleNormal="85" workbookViewId="0">
      <selection activeCell="I18" sqref="I18"/>
    </sheetView>
  </sheetViews>
  <sheetFormatPr defaultColWidth="8" defaultRowHeight="12.75"/>
  <cols>
    <col min="1" max="1" width="13.375" style="82" customWidth="1"/>
    <col min="2" max="2" width="14.625" style="82" customWidth="1"/>
    <col min="3" max="3" width="14.625" style="82" bestFit="1" customWidth="1"/>
    <col min="4" max="5" width="13.375" style="82" customWidth="1"/>
    <col min="6" max="6" width="14.625" style="82" bestFit="1" customWidth="1"/>
    <col min="7" max="7" width="16.875" style="82" customWidth="1"/>
    <col min="8" max="11" width="8" style="82"/>
    <col min="12" max="12" width="9.625" style="82" bestFit="1" customWidth="1"/>
    <col min="13" max="256" width="8" style="82"/>
    <col min="257" max="257" width="13.375" style="82" customWidth="1"/>
    <col min="258" max="258" width="14.625" style="82" customWidth="1"/>
    <col min="259" max="262" width="13.375" style="82" customWidth="1"/>
    <col min="263" max="263" width="14.625" style="82" customWidth="1"/>
    <col min="264" max="512" width="8" style="82"/>
    <col min="513" max="513" width="13.375" style="82" customWidth="1"/>
    <col min="514" max="514" width="14.625" style="82" customWidth="1"/>
    <col min="515" max="518" width="13.375" style="82" customWidth="1"/>
    <col min="519" max="519" width="14.625" style="82" customWidth="1"/>
    <col min="520" max="768" width="8" style="82"/>
    <col min="769" max="769" width="13.375" style="82" customWidth="1"/>
    <col min="770" max="770" width="14.625" style="82" customWidth="1"/>
    <col min="771" max="774" width="13.375" style="82" customWidth="1"/>
    <col min="775" max="775" width="14.625" style="82" customWidth="1"/>
    <col min="776" max="1024" width="8" style="82"/>
    <col min="1025" max="1025" width="13.375" style="82" customWidth="1"/>
    <col min="1026" max="1026" width="14.625" style="82" customWidth="1"/>
    <col min="1027" max="1030" width="13.375" style="82" customWidth="1"/>
    <col min="1031" max="1031" width="14.625" style="82" customWidth="1"/>
    <col min="1032" max="1280" width="8" style="82"/>
    <col min="1281" max="1281" width="13.375" style="82" customWidth="1"/>
    <col min="1282" max="1282" width="14.625" style="82" customWidth="1"/>
    <col min="1283" max="1286" width="13.375" style="82" customWidth="1"/>
    <col min="1287" max="1287" width="14.625" style="82" customWidth="1"/>
    <col min="1288" max="1536" width="8" style="82"/>
    <col min="1537" max="1537" width="13.375" style="82" customWidth="1"/>
    <col min="1538" max="1538" width="14.625" style="82" customWidth="1"/>
    <col min="1539" max="1542" width="13.375" style="82" customWidth="1"/>
    <col min="1543" max="1543" width="14.625" style="82" customWidth="1"/>
    <col min="1544" max="1792" width="8" style="82"/>
    <col min="1793" max="1793" width="13.375" style="82" customWidth="1"/>
    <col min="1794" max="1794" width="14.625" style="82" customWidth="1"/>
    <col min="1795" max="1798" width="13.375" style="82" customWidth="1"/>
    <col min="1799" max="1799" width="14.625" style="82" customWidth="1"/>
    <col min="1800" max="2048" width="8" style="82"/>
    <col min="2049" max="2049" width="13.375" style="82" customWidth="1"/>
    <col min="2050" max="2050" width="14.625" style="82" customWidth="1"/>
    <col min="2051" max="2054" width="13.375" style="82" customWidth="1"/>
    <col min="2055" max="2055" width="14.625" style="82" customWidth="1"/>
    <col min="2056" max="2304" width="8" style="82"/>
    <col min="2305" max="2305" width="13.375" style="82" customWidth="1"/>
    <col min="2306" max="2306" width="14.625" style="82" customWidth="1"/>
    <col min="2307" max="2310" width="13.375" style="82" customWidth="1"/>
    <col min="2311" max="2311" width="14.625" style="82" customWidth="1"/>
    <col min="2312" max="2560" width="8" style="82"/>
    <col min="2561" max="2561" width="13.375" style="82" customWidth="1"/>
    <col min="2562" max="2562" width="14.625" style="82" customWidth="1"/>
    <col min="2563" max="2566" width="13.375" style="82" customWidth="1"/>
    <col min="2567" max="2567" width="14.625" style="82" customWidth="1"/>
    <col min="2568" max="2816" width="8" style="82"/>
    <col min="2817" max="2817" width="13.375" style="82" customWidth="1"/>
    <col min="2818" max="2818" width="14.625" style="82" customWidth="1"/>
    <col min="2819" max="2822" width="13.375" style="82" customWidth="1"/>
    <col min="2823" max="2823" width="14.625" style="82" customWidth="1"/>
    <col min="2824" max="3072" width="8" style="82"/>
    <col min="3073" max="3073" width="13.375" style="82" customWidth="1"/>
    <col min="3074" max="3074" width="14.625" style="82" customWidth="1"/>
    <col min="3075" max="3078" width="13.375" style="82" customWidth="1"/>
    <col min="3079" max="3079" width="14.625" style="82" customWidth="1"/>
    <col min="3080" max="3328" width="8" style="82"/>
    <col min="3329" max="3329" width="13.375" style="82" customWidth="1"/>
    <col min="3330" max="3330" width="14.625" style="82" customWidth="1"/>
    <col min="3331" max="3334" width="13.375" style="82" customWidth="1"/>
    <col min="3335" max="3335" width="14.625" style="82" customWidth="1"/>
    <col min="3336" max="3584" width="8" style="82"/>
    <col min="3585" max="3585" width="13.375" style="82" customWidth="1"/>
    <col min="3586" max="3586" width="14.625" style="82" customWidth="1"/>
    <col min="3587" max="3590" width="13.375" style="82" customWidth="1"/>
    <col min="3591" max="3591" width="14.625" style="82" customWidth="1"/>
    <col min="3592" max="3840" width="8" style="82"/>
    <col min="3841" max="3841" width="13.375" style="82" customWidth="1"/>
    <col min="3842" max="3842" width="14.625" style="82" customWidth="1"/>
    <col min="3843" max="3846" width="13.375" style="82" customWidth="1"/>
    <col min="3847" max="3847" width="14.625" style="82" customWidth="1"/>
    <col min="3848" max="4096" width="8" style="82"/>
    <col min="4097" max="4097" width="13.375" style="82" customWidth="1"/>
    <col min="4098" max="4098" width="14.625" style="82" customWidth="1"/>
    <col min="4099" max="4102" width="13.375" style="82" customWidth="1"/>
    <col min="4103" max="4103" width="14.625" style="82" customWidth="1"/>
    <col min="4104" max="4352" width="8" style="82"/>
    <col min="4353" max="4353" width="13.375" style="82" customWidth="1"/>
    <col min="4354" max="4354" width="14.625" style="82" customWidth="1"/>
    <col min="4355" max="4358" width="13.375" style="82" customWidth="1"/>
    <col min="4359" max="4359" width="14.625" style="82" customWidth="1"/>
    <col min="4360" max="4608" width="8" style="82"/>
    <col min="4609" max="4609" width="13.375" style="82" customWidth="1"/>
    <col min="4610" max="4610" width="14.625" style="82" customWidth="1"/>
    <col min="4611" max="4614" width="13.375" style="82" customWidth="1"/>
    <col min="4615" max="4615" width="14.625" style="82" customWidth="1"/>
    <col min="4616" max="4864" width="8" style="82"/>
    <col min="4865" max="4865" width="13.375" style="82" customWidth="1"/>
    <col min="4866" max="4866" width="14.625" style="82" customWidth="1"/>
    <col min="4867" max="4870" width="13.375" style="82" customWidth="1"/>
    <col min="4871" max="4871" width="14.625" style="82" customWidth="1"/>
    <col min="4872" max="5120" width="8" style="82"/>
    <col min="5121" max="5121" width="13.375" style="82" customWidth="1"/>
    <col min="5122" max="5122" width="14.625" style="82" customWidth="1"/>
    <col min="5123" max="5126" width="13.375" style="82" customWidth="1"/>
    <col min="5127" max="5127" width="14.625" style="82" customWidth="1"/>
    <col min="5128" max="5376" width="8" style="82"/>
    <col min="5377" max="5377" width="13.375" style="82" customWidth="1"/>
    <col min="5378" max="5378" width="14.625" style="82" customWidth="1"/>
    <col min="5379" max="5382" width="13.375" style="82" customWidth="1"/>
    <col min="5383" max="5383" width="14.625" style="82" customWidth="1"/>
    <col min="5384" max="5632" width="8" style="82"/>
    <col min="5633" max="5633" width="13.375" style="82" customWidth="1"/>
    <col min="5634" max="5634" width="14.625" style="82" customWidth="1"/>
    <col min="5635" max="5638" width="13.375" style="82" customWidth="1"/>
    <col min="5639" max="5639" width="14.625" style="82" customWidth="1"/>
    <col min="5640" max="5888" width="8" style="82"/>
    <col min="5889" max="5889" width="13.375" style="82" customWidth="1"/>
    <col min="5890" max="5890" width="14.625" style="82" customWidth="1"/>
    <col min="5891" max="5894" width="13.375" style="82" customWidth="1"/>
    <col min="5895" max="5895" width="14.625" style="82" customWidth="1"/>
    <col min="5896" max="6144" width="8" style="82"/>
    <col min="6145" max="6145" width="13.375" style="82" customWidth="1"/>
    <col min="6146" max="6146" width="14.625" style="82" customWidth="1"/>
    <col min="6147" max="6150" width="13.375" style="82" customWidth="1"/>
    <col min="6151" max="6151" width="14.625" style="82" customWidth="1"/>
    <col min="6152" max="6400" width="8" style="82"/>
    <col min="6401" max="6401" width="13.375" style="82" customWidth="1"/>
    <col min="6402" max="6402" width="14.625" style="82" customWidth="1"/>
    <col min="6403" max="6406" width="13.375" style="82" customWidth="1"/>
    <col min="6407" max="6407" width="14.625" style="82" customWidth="1"/>
    <col min="6408" max="6656" width="8" style="82"/>
    <col min="6657" max="6657" width="13.375" style="82" customWidth="1"/>
    <col min="6658" max="6658" width="14.625" style="82" customWidth="1"/>
    <col min="6659" max="6662" width="13.375" style="82" customWidth="1"/>
    <col min="6663" max="6663" width="14.625" style="82" customWidth="1"/>
    <col min="6664" max="6912" width="8" style="82"/>
    <col min="6913" max="6913" width="13.375" style="82" customWidth="1"/>
    <col min="6914" max="6914" width="14.625" style="82" customWidth="1"/>
    <col min="6915" max="6918" width="13.375" style="82" customWidth="1"/>
    <col min="6919" max="6919" width="14.625" style="82" customWidth="1"/>
    <col min="6920" max="7168" width="8" style="82"/>
    <col min="7169" max="7169" width="13.375" style="82" customWidth="1"/>
    <col min="7170" max="7170" width="14.625" style="82" customWidth="1"/>
    <col min="7171" max="7174" width="13.375" style="82" customWidth="1"/>
    <col min="7175" max="7175" width="14.625" style="82" customWidth="1"/>
    <col min="7176" max="7424" width="8" style="82"/>
    <col min="7425" max="7425" width="13.375" style="82" customWidth="1"/>
    <col min="7426" max="7426" width="14.625" style="82" customWidth="1"/>
    <col min="7427" max="7430" width="13.375" style="82" customWidth="1"/>
    <col min="7431" max="7431" width="14.625" style="82" customWidth="1"/>
    <col min="7432" max="7680" width="8" style="82"/>
    <col min="7681" max="7681" width="13.375" style="82" customWidth="1"/>
    <col min="7682" max="7682" width="14.625" style="82" customWidth="1"/>
    <col min="7683" max="7686" width="13.375" style="82" customWidth="1"/>
    <col min="7687" max="7687" width="14.625" style="82" customWidth="1"/>
    <col min="7688" max="7936" width="8" style="82"/>
    <col min="7937" max="7937" width="13.375" style="82" customWidth="1"/>
    <col min="7938" max="7938" width="14.625" style="82" customWidth="1"/>
    <col min="7939" max="7942" width="13.375" style="82" customWidth="1"/>
    <col min="7943" max="7943" width="14.625" style="82" customWidth="1"/>
    <col min="7944" max="8192" width="8" style="82"/>
    <col min="8193" max="8193" width="13.375" style="82" customWidth="1"/>
    <col min="8194" max="8194" width="14.625" style="82" customWidth="1"/>
    <col min="8195" max="8198" width="13.375" style="82" customWidth="1"/>
    <col min="8199" max="8199" width="14.625" style="82" customWidth="1"/>
    <col min="8200" max="8448" width="8" style="82"/>
    <col min="8449" max="8449" width="13.375" style="82" customWidth="1"/>
    <col min="8450" max="8450" width="14.625" style="82" customWidth="1"/>
    <col min="8451" max="8454" width="13.375" style="82" customWidth="1"/>
    <col min="8455" max="8455" width="14.625" style="82" customWidth="1"/>
    <col min="8456" max="8704" width="8" style="82"/>
    <col min="8705" max="8705" width="13.375" style="82" customWidth="1"/>
    <col min="8706" max="8706" width="14.625" style="82" customWidth="1"/>
    <col min="8707" max="8710" width="13.375" style="82" customWidth="1"/>
    <col min="8711" max="8711" width="14.625" style="82" customWidth="1"/>
    <col min="8712" max="8960" width="8" style="82"/>
    <col min="8961" max="8961" width="13.375" style="82" customWidth="1"/>
    <col min="8962" max="8962" width="14.625" style="82" customWidth="1"/>
    <col min="8963" max="8966" width="13.375" style="82" customWidth="1"/>
    <col min="8967" max="8967" width="14.625" style="82" customWidth="1"/>
    <col min="8968" max="9216" width="8" style="82"/>
    <col min="9217" max="9217" width="13.375" style="82" customWidth="1"/>
    <col min="9218" max="9218" width="14.625" style="82" customWidth="1"/>
    <col min="9219" max="9222" width="13.375" style="82" customWidth="1"/>
    <col min="9223" max="9223" width="14.625" style="82" customWidth="1"/>
    <col min="9224" max="9472" width="8" style="82"/>
    <col min="9473" max="9473" width="13.375" style="82" customWidth="1"/>
    <col min="9474" max="9474" width="14.625" style="82" customWidth="1"/>
    <col min="9475" max="9478" width="13.375" style="82" customWidth="1"/>
    <col min="9479" max="9479" width="14.625" style="82" customWidth="1"/>
    <col min="9480" max="9728" width="8" style="82"/>
    <col min="9729" max="9729" width="13.375" style="82" customWidth="1"/>
    <col min="9730" max="9730" width="14.625" style="82" customWidth="1"/>
    <col min="9731" max="9734" width="13.375" style="82" customWidth="1"/>
    <col min="9735" max="9735" width="14.625" style="82" customWidth="1"/>
    <col min="9736" max="9984" width="8" style="82"/>
    <col min="9985" max="9985" width="13.375" style="82" customWidth="1"/>
    <col min="9986" max="9986" width="14.625" style="82" customWidth="1"/>
    <col min="9987" max="9990" width="13.375" style="82" customWidth="1"/>
    <col min="9991" max="9991" width="14.625" style="82" customWidth="1"/>
    <col min="9992" max="10240" width="8" style="82"/>
    <col min="10241" max="10241" width="13.375" style="82" customWidth="1"/>
    <col min="10242" max="10242" width="14.625" style="82" customWidth="1"/>
    <col min="10243" max="10246" width="13.375" style="82" customWidth="1"/>
    <col min="10247" max="10247" width="14.625" style="82" customWidth="1"/>
    <col min="10248" max="10496" width="8" style="82"/>
    <col min="10497" max="10497" width="13.375" style="82" customWidth="1"/>
    <col min="10498" max="10498" width="14.625" style="82" customWidth="1"/>
    <col min="10499" max="10502" width="13.375" style="82" customWidth="1"/>
    <col min="10503" max="10503" width="14.625" style="82" customWidth="1"/>
    <col min="10504" max="10752" width="8" style="82"/>
    <col min="10753" max="10753" width="13.375" style="82" customWidth="1"/>
    <col min="10754" max="10754" width="14.625" style="82" customWidth="1"/>
    <col min="10755" max="10758" width="13.375" style="82" customWidth="1"/>
    <col min="10759" max="10759" width="14.625" style="82" customWidth="1"/>
    <col min="10760" max="11008" width="8" style="82"/>
    <col min="11009" max="11009" width="13.375" style="82" customWidth="1"/>
    <col min="11010" max="11010" width="14.625" style="82" customWidth="1"/>
    <col min="11011" max="11014" width="13.375" style="82" customWidth="1"/>
    <col min="11015" max="11015" width="14.625" style="82" customWidth="1"/>
    <col min="11016" max="11264" width="8" style="82"/>
    <col min="11265" max="11265" width="13.375" style="82" customWidth="1"/>
    <col min="11266" max="11266" width="14.625" style="82" customWidth="1"/>
    <col min="11267" max="11270" width="13.375" style="82" customWidth="1"/>
    <col min="11271" max="11271" width="14.625" style="82" customWidth="1"/>
    <col min="11272" max="11520" width="8" style="82"/>
    <col min="11521" max="11521" width="13.375" style="82" customWidth="1"/>
    <col min="11522" max="11522" width="14.625" style="82" customWidth="1"/>
    <col min="11523" max="11526" width="13.375" style="82" customWidth="1"/>
    <col min="11527" max="11527" width="14.625" style="82" customWidth="1"/>
    <col min="11528" max="11776" width="8" style="82"/>
    <col min="11777" max="11777" width="13.375" style="82" customWidth="1"/>
    <col min="11778" max="11778" width="14.625" style="82" customWidth="1"/>
    <col min="11779" max="11782" width="13.375" style="82" customWidth="1"/>
    <col min="11783" max="11783" width="14.625" style="82" customWidth="1"/>
    <col min="11784" max="12032" width="8" style="82"/>
    <col min="12033" max="12033" width="13.375" style="82" customWidth="1"/>
    <col min="12034" max="12034" width="14.625" style="82" customWidth="1"/>
    <col min="12035" max="12038" width="13.375" style="82" customWidth="1"/>
    <col min="12039" max="12039" width="14.625" style="82" customWidth="1"/>
    <col min="12040" max="12288" width="8" style="82"/>
    <col min="12289" max="12289" width="13.375" style="82" customWidth="1"/>
    <col min="12290" max="12290" width="14.625" style="82" customWidth="1"/>
    <col min="12291" max="12294" width="13.375" style="82" customWidth="1"/>
    <col min="12295" max="12295" width="14.625" style="82" customWidth="1"/>
    <col min="12296" max="12544" width="8" style="82"/>
    <col min="12545" max="12545" width="13.375" style="82" customWidth="1"/>
    <col min="12546" max="12546" width="14.625" style="82" customWidth="1"/>
    <col min="12547" max="12550" width="13.375" style="82" customWidth="1"/>
    <col min="12551" max="12551" width="14.625" style="82" customWidth="1"/>
    <col min="12552" max="12800" width="8" style="82"/>
    <col min="12801" max="12801" width="13.375" style="82" customWidth="1"/>
    <col min="12802" max="12802" width="14.625" style="82" customWidth="1"/>
    <col min="12803" max="12806" width="13.375" style="82" customWidth="1"/>
    <col min="12807" max="12807" width="14.625" style="82" customWidth="1"/>
    <col min="12808" max="13056" width="8" style="82"/>
    <col min="13057" max="13057" width="13.375" style="82" customWidth="1"/>
    <col min="13058" max="13058" width="14.625" style="82" customWidth="1"/>
    <col min="13059" max="13062" width="13.375" style="82" customWidth="1"/>
    <col min="13063" max="13063" width="14.625" style="82" customWidth="1"/>
    <col min="13064" max="13312" width="8" style="82"/>
    <col min="13313" max="13313" width="13.375" style="82" customWidth="1"/>
    <col min="13314" max="13314" width="14.625" style="82" customWidth="1"/>
    <col min="13315" max="13318" width="13.375" style="82" customWidth="1"/>
    <col min="13319" max="13319" width="14.625" style="82" customWidth="1"/>
    <col min="13320" max="13568" width="8" style="82"/>
    <col min="13569" max="13569" width="13.375" style="82" customWidth="1"/>
    <col min="13570" max="13570" width="14.625" style="82" customWidth="1"/>
    <col min="13571" max="13574" width="13.375" style="82" customWidth="1"/>
    <col min="13575" max="13575" width="14.625" style="82" customWidth="1"/>
    <col min="13576" max="13824" width="8" style="82"/>
    <col min="13825" max="13825" width="13.375" style="82" customWidth="1"/>
    <col min="13826" max="13826" width="14.625" style="82" customWidth="1"/>
    <col min="13827" max="13830" width="13.375" style="82" customWidth="1"/>
    <col min="13831" max="13831" width="14.625" style="82" customWidth="1"/>
    <col min="13832" max="14080" width="8" style="82"/>
    <col min="14081" max="14081" width="13.375" style="82" customWidth="1"/>
    <col min="14082" max="14082" width="14.625" style="82" customWidth="1"/>
    <col min="14083" max="14086" width="13.375" style="82" customWidth="1"/>
    <col min="14087" max="14087" width="14.625" style="82" customWidth="1"/>
    <col min="14088" max="14336" width="8" style="82"/>
    <col min="14337" max="14337" width="13.375" style="82" customWidth="1"/>
    <col min="14338" max="14338" width="14.625" style="82" customWidth="1"/>
    <col min="14339" max="14342" width="13.375" style="82" customWidth="1"/>
    <col min="14343" max="14343" width="14.625" style="82" customWidth="1"/>
    <col min="14344" max="14592" width="8" style="82"/>
    <col min="14593" max="14593" width="13.375" style="82" customWidth="1"/>
    <col min="14594" max="14594" width="14.625" style="82" customWidth="1"/>
    <col min="14595" max="14598" width="13.375" style="82" customWidth="1"/>
    <col min="14599" max="14599" width="14.625" style="82" customWidth="1"/>
    <col min="14600" max="14848" width="8" style="82"/>
    <col min="14849" max="14849" width="13.375" style="82" customWidth="1"/>
    <col min="14850" max="14850" width="14.625" style="82" customWidth="1"/>
    <col min="14851" max="14854" width="13.375" style="82" customWidth="1"/>
    <col min="14855" max="14855" width="14.625" style="82" customWidth="1"/>
    <col min="14856" max="15104" width="8" style="82"/>
    <col min="15105" max="15105" width="13.375" style="82" customWidth="1"/>
    <col min="15106" max="15106" width="14.625" style="82" customWidth="1"/>
    <col min="15107" max="15110" width="13.375" style="82" customWidth="1"/>
    <col min="15111" max="15111" width="14.625" style="82" customWidth="1"/>
    <col min="15112" max="15360" width="8" style="82"/>
    <col min="15361" max="15361" width="13.375" style="82" customWidth="1"/>
    <col min="15362" max="15362" width="14.625" style="82" customWidth="1"/>
    <col min="15363" max="15366" width="13.375" style="82" customWidth="1"/>
    <col min="15367" max="15367" width="14.625" style="82" customWidth="1"/>
    <col min="15368" max="15616" width="8" style="82"/>
    <col min="15617" max="15617" width="13.375" style="82" customWidth="1"/>
    <col min="15618" max="15618" width="14.625" style="82" customWidth="1"/>
    <col min="15619" max="15622" width="13.375" style="82" customWidth="1"/>
    <col min="15623" max="15623" width="14.625" style="82" customWidth="1"/>
    <col min="15624" max="15872" width="8" style="82"/>
    <col min="15873" max="15873" width="13.375" style="82" customWidth="1"/>
    <col min="15874" max="15874" width="14.625" style="82" customWidth="1"/>
    <col min="15875" max="15878" width="13.375" style="82" customWidth="1"/>
    <col min="15879" max="15879" width="14.625" style="82" customWidth="1"/>
    <col min="15880" max="16128" width="8" style="82"/>
    <col min="16129" max="16129" width="13.375" style="82" customWidth="1"/>
    <col min="16130" max="16130" width="14.625" style="82" customWidth="1"/>
    <col min="16131" max="16134" width="13.375" style="82" customWidth="1"/>
    <col min="16135" max="16135" width="14.625" style="82" customWidth="1"/>
    <col min="16136" max="16384" width="8" style="82"/>
  </cols>
  <sheetData>
    <row r="1" spans="1:12" ht="30" customHeight="1">
      <c r="A1" s="515" t="s">
        <v>336</v>
      </c>
      <c r="B1" s="571"/>
      <c r="C1" s="571"/>
      <c r="D1" s="571"/>
      <c r="E1" s="571"/>
      <c r="F1" s="571"/>
      <c r="G1" s="572"/>
    </row>
    <row r="2" spans="1:12" ht="30" customHeight="1">
      <c r="A2" s="515" t="s">
        <v>542</v>
      </c>
      <c r="B2" s="572"/>
      <c r="C2" s="572"/>
      <c r="D2" s="572"/>
      <c r="E2" s="572"/>
      <c r="F2" s="572"/>
      <c r="G2" s="572"/>
    </row>
    <row r="3" spans="1:12" ht="35.1" customHeight="1" thickBot="1">
      <c r="A3" s="573" t="s">
        <v>50</v>
      </c>
      <c r="B3" s="574"/>
      <c r="C3" s="574"/>
      <c r="D3" s="574"/>
      <c r="E3" s="574"/>
      <c r="F3" s="575"/>
      <c r="G3" s="575"/>
    </row>
    <row r="4" spans="1:12" ht="45" customHeight="1">
      <c r="A4" s="576" t="s">
        <v>51</v>
      </c>
      <c r="B4" s="578" t="s">
        <v>52</v>
      </c>
      <c r="C4" s="578" t="s">
        <v>53</v>
      </c>
      <c r="D4" s="581" t="s">
        <v>54</v>
      </c>
      <c r="E4" s="582"/>
      <c r="F4" s="578" t="s">
        <v>55</v>
      </c>
      <c r="G4" s="583"/>
    </row>
    <row r="5" spans="1:12" ht="30" customHeight="1">
      <c r="A5" s="577"/>
      <c r="B5" s="579"/>
      <c r="C5" s="580"/>
      <c r="D5" s="83" t="s">
        <v>56</v>
      </c>
      <c r="E5" s="363" t="s">
        <v>57</v>
      </c>
      <c r="F5" s="584"/>
      <c r="G5" s="585"/>
    </row>
    <row r="6" spans="1:12" ht="30" customHeight="1">
      <c r="A6" s="84" t="s">
        <v>58</v>
      </c>
      <c r="B6" s="85">
        <f>第一次變更總表!J15</f>
        <v>46548000</v>
      </c>
      <c r="C6" s="86">
        <f>第一次變更總表!K15</f>
        <v>47231665</v>
      </c>
      <c r="D6" s="86">
        <f>第一次變更總表!L15</f>
        <v>10230330.880789792</v>
      </c>
      <c r="E6" s="86">
        <f>第一次變更總表!M15</f>
        <v>9546666</v>
      </c>
      <c r="F6" s="563"/>
      <c r="G6" s="564"/>
      <c r="L6" s="159"/>
    </row>
    <row r="7" spans="1:12" ht="30" customHeight="1">
      <c r="A7" s="84" t="s">
        <v>59</v>
      </c>
      <c r="B7" s="85">
        <f>第一次變更總表!J18</f>
        <v>124128</v>
      </c>
      <c r="C7" s="86">
        <f>第一次變更總表!K18</f>
        <v>335857</v>
      </c>
      <c r="D7" s="86">
        <f>第一次變更總表!L18</f>
        <v>211729</v>
      </c>
      <c r="E7" s="85" t="str">
        <f>第一次變更總表!M18</f>
        <v/>
      </c>
      <c r="F7" s="563"/>
      <c r="G7" s="564"/>
    </row>
    <row r="8" spans="1:12" ht="30" customHeight="1">
      <c r="A8" s="84" t="s">
        <v>60</v>
      </c>
      <c r="B8" s="85">
        <f>第一次變更總表!J19</f>
        <v>100000</v>
      </c>
      <c r="C8" s="85">
        <f>第一次變更總表!K19</f>
        <v>100000</v>
      </c>
      <c r="D8" s="85">
        <f>第一次變更總表!L19</f>
        <v>0</v>
      </c>
      <c r="E8" s="85" t="str">
        <f>第一次變更總表!M19</f>
        <v/>
      </c>
      <c r="F8" s="563"/>
      <c r="G8" s="564"/>
    </row>
    <row r="9" spans="1:12" ht="30" customHeight="1">
      <c r="A9" s="84" t="s">
        <v>61</v>
      </c>
      <c r="B9" s="85">
        <f>第一次變更總表!J17</f>
        <v>1168615</v>
      </c>
      <c r="C9" s="86">
        <f>第一次變更總表!K17</f>
        <v>1182586</v>
      </c>
      <c r="D9" s="86">
        <f>第一次變更總表!L17</f>
        <v>13971</v>
      </c>
      <c r="E9" s="86" t="str">
        <f>第一次變更總表!M17</f>
        <v/>
      </c>
      <c r="F9" s="565"/>
      <c r="G9" s="566"/>
    </row>
    <row r="10" spans="1:12" ht="30" customHeight="1">
      <c r="A10" s="310" t="s">
        <v>953</v>
      </c>
      <c r="B10" s="311">
        <v>15000</v>
      </c>
      <c r="C10" s="313">
        <v>15000</v>
      </c>
      <c r="D10" s="312">
        <v>0</v>
      </c>
      <c r="E10" s="312">
        <v>0</v>
      </c>
      <c r="F10" s="569"/>
      <c r="G10" s="570"/>
    </row>
    <row r="11" spans="1:12" ht="30" customHeight="1" thickBot="1">
      <c r="A11" s="87" t="s">
        <v>62</v>
      </c>
      <c r="B11" s="88">
        <f>SUM(B6:B10)</f>
        <v>47955743</v>
      </c>
      <c r="C11" s="158">
        <f>SUM(C6:C10)</f>
        <v>48865108</v>
      </c>
      <c r="D11" s="158">
        <f t="shared" ref="D11:E11" si="0">SUM(D6:D10)</f>
        <v>10456030.880789792</v>
      </c>
      <c r="E11" s="158">
        <f t="shared" si="0"/>
        <v>9546666</v>
      </c>
      <c r="F11" s="567"/>
      <c r="G11" s="568"/>
    </row>
    <row r="12" spans="1:12" ht="35.1" customHeight="1" thickBot="1">
      <c r="A12" s="89" t="s">
        <v>63</v>
      </c>
      <c r="B12" s="90"/>
      <c r="C12" s="90"/>
      <c r="D12" s="90"/>
      <c r="E12" s="90"/>
      <c r="F12" s="91"/>
      <c r="G12" s="91"/>
    </row>
    <row r="13" spans="1:12" ht="30" customHeight="1">
      <c r="A13" s="555" t="s">
        <v>64</v>
      </c>
      <c r="B13" s="556"/>
      <c r="C13" s="559" t="s">
        <v>65</v>
      </c>
      <c r="D13" s="561" t="s">
        <v>66</v>
      </c>
      <c r="E13" s="561" t="s">
        <v>67</v>
      </c>
      <c r="F13" s="559" t="s">
        <v>61</v>
      </c>
      <c r="G13" s="547" t="s">
        <v>68</v>
      </c>
    </row>
    <row r="14" spans="1:12" ht="30" customHeight="1">
      <c r="A14" s="557"/>
      <c r="B14" s="558"/>
      <c r="C14" s="560"/>
      <c r="D14" s="562"/>
      <c r="E14" s="562"/>
      <c r="F14" s="560"/>
      <c r="G14" s="548"/>
    </row>
    <row r="15" spans="1:12" ht="30" customHeight="1">
      <c r="A15" s="549" t="s">
        <v>339</v>
      </c>
      <c r="B15" s="550"/>
      <c r="C15" s="370"/>
      <c r="D15" s="370">
        <v>332879</v>
      </c>
      <c r="E15" s="370"/>
      <c r="F15" s="370"/>
      <c r="G15" s="372">
        <f>SUM(C15:F15)</f>
        <v>332879</v>
      </c>
    </row>
    <row r="16" spans="1:12" ht="44.25" customHeight="1">
      <c r="A16" s="549" t="s">
        <v>1321</v>
      </c>
      <c r="B16" s="550"/>
      <c r="C16" s="370">
        <f>C6</f>
        <v>47231665</v>
      </c>
      <c r="D16" s="370">
        <f>C7-D15</f>
        <v>2978</v>
      </c>
      <c r="E16" s="370">
        <f>C8+C10</f>
        <v>115000</v>
      </c>
      <c r="F16" s="370">
        <f>C9</f>
        <v>1182586</v>
      </c>
      <c r="G16" s="372">
        <f>SUM(C16:F16)</f>
        <v>48532229</v>
      </c>
    </row>
    <row r="17" spans="1:7" ht="30" customHeight="1" thickBot="1">
      <c r="A17" s="551" t="s">
        <v>69</v>
      </c>
      <c r="B17" s="552"/>
      <c r="C17" s="371">
        <f>SUM(C15:C16)</f>
        <v>47231665</v>
      </c>
      <c r="D17" s="371">
        <f t="shared" ref="D17:G17" si="1">SUM(D15:D16)</f>
        <v>335857</v>
      </c>
      <c r="E17" s="371">
        <f t="shared" si="1"/>
        <v>115000</v>
      </c>
      <c r="F17" s="371">
        <f t="shared" si="1"/>
        <v>1182586</v>
      </c>
      <c r="G17" s="371">
        <f t="shared" si="1"/>
        <v>48865108</v>
      </c>
    </row>
    <row r="18" spans="1:7" ht="35.1" customHeight="1">
      <c r="A18" s="92" t="s">
        <v>70</v>
      </c>
      <c r="B18" s="93"/>
      <c r="C18" s="93"/>
      <c r="D18" s="93"/>
      <c r="E18" s="93"/>
      <c r="F18" s="93"/>
      <c r="G18" s="93"/>
    </row>
    <row r="19" spans="1:7" ht="30" customHeight="1">
      <c r="A19" s="553" t="s">
        <v>329</v>
      </c>
      <c r="B19" s="554"/>
      <c r="C19" s="554"/>
      <c r="D19" s="554"/>
      <c r="E19" s="554"/>
      <c r="F19" s="554"/>
      <c r="G19" s="554"/>
    </row>
    <row r="20" spans="1:7">
      <c r="B20" s="94"/>
      <c r="C20" s="94"/>
      <c r="D20" s="94"/>
      <c r="E20" s="94"/>
      <c r="F20" s="95"/>
      <c r="G20" s="94"/>
    </row>
    <row r="21" spans="1:7">
      <c r="B21" s="94"/>
      <c r="C21" s="94"/>
      <c r="D21" s="94"/>
      <c r="E21" s="94"/>
      <c r="F21" s="94"/>
      <c r="G21" s="94"/>
    </row>
    <row r="22" spans="1:7">
      <c r="B22" s="94"/>
      <c r="C22" s="94"/>
      <c r="D22" s="94"/>
      <c r="E22" s="94"/>
      <c r="F22" s="94"/>
      <c r="G22" s="94"/>
    </row>
    <row r="23" spans="1:7">
      <c r="B23" s="94"/>
      <c r="C23" s="94"/>
      <c r="D23" s="94"/>
      <c r="E23" s="94"/>
      <c r="F23" s="94"/>
      <c r="G23" s="94"/>
    </row>
    <row r="24" spans="1:7">
      <c r="B24" s="94"/>
      <c r="C24" s="94"/>
      <c r="D24" s="94"/>
      <c r="E24" s="94"/>
      <c r="F24" s="94"/>
      <c r="G24" s="94"/>
    </row>
    <row r="25" spans="1:7">
      <c r="B25" s="94"/>
      <c r="C25" s="94"/>
      <c r="D25" s="94"/>
      <c r="E25" s="94"/>
      <c r="F25" s="94"/>
      <c r="G25" s="94"/>
    </row>
    <row r="26" spans="1:7">
      <c r="B26" s="94"/>
      <c r="C26" s="94"/>
      <c r="D26" s="94"/>
      <c r="E26" s="94"/>
      <c r="F26" s="94"/>
      <c r="G26" s="94"/>
    </row>
    <row r="27" spans="1:7">
      <c r="B27" s="94"/>
      <c r="C27" s="94"/>
      <c r="D27" s="94"/>
      <c r="E27" s="94"/>
      <c r="F27" s="94"/>
      <c r="G27" s="94"/>
    </row>
    <row r="28" spans="1:7">
      <c r="B28" s="94"/>
      <c r="C28" s="94"/>
      <c r="D28" s="94"/>
      <c r="E28" s="94"/>
      <c r="F28" s="94"/>
      <c r="G28" s="94"/>
    </row>
    <row r="29" spans="1:7">
      <c r="B29" s="94"/>
      <c r="C29" s="94"/>
      <c r="D29" s="94"/>
      <c r="E29" s="94"/>
      <c r="F29" s="94"/>
      <c r="G29" s="94"/>
    </row>
    <row r="30" spans="1:7">
      <c r="B30" s="94"/>
      <c r="C30" s="94"/>
      <c r="D30" s="94"/>
      <c r="E30" s="94"/>
      <c r="F30" s="94"/>
      <c r="G30" s="94"/>
    </row>
    <row r="31" spans="1:7">
      <c r="B31" s="94"/>
      <c r="C31" s="94"/>
      <c r="D31" s="94"/>
      <c r="E31" s="94"/>
      <c r="F31" s="94"/>
      <c r="G31" s="94"/>
    </row>
    <row r="32" spans="1:7">
      <c r="B32" s="94"/>
      <c r="C32" s="94"/>
      <c r="D32" s="94"/>
      <c r="E32" s="94"/>
      <c r="F32" s="94"/>
      <c r="G32" s="94"/>
    </row>
    <row r="33" spans="2:7">
      <c r="B33" s="94"/>
      <c r="C33" s="94"/>
      <c r="D33" s="94"/>
      <c r="E33" s="94"/>
      <c r="F33" s="94"/>
      <c r="G33" s="94"/>
    </row>
    <row r="34" spans="2:7">
      <c r="B34" s="94"/>
      <c r="C34" s="94"/>
      <c r="D34" s="94"/>
      <c r="E34" s="94"/>
      <c r="F34" s="94"/>
      <c r="G34" s="94"/>
    </row>
    <row r="35" spans="2:7">
      <c r="B35" s="94"/>
      <c r="C35" s="94"/>
      <c r="D35" s="94"/>
      <c r="E35" s="94"/>
      <c r="F35" s="94"/>
      <c r="G35" s="94"/>
    </row>
    <row r="36" spans="2:7">
      <c r="B36" s="94"/>
      <c r="C36" s="94"/>
      <c r="D36" s="94"/>
      <c r="E36" s="94"/>
      <c r="F36" s="94"/>
      <c r="G36" s="94"/>
    </row>
    <row r="37" spans="2:7">
      <c r="B37" s="94"/>
      <c r="C37" s="94"/>
      <c r="D37" s="94"/>
      <c r="E37" s="94"/>
      <c r="F37" s="94"/>
      <c r="G37" s="94"/>
    </row>
    <row r="38" spans="2:7">
      <c r="B38" s="94"/>
      <c r="C38" s="94"/>
      <c r="D38" s="94"/>
      <c r="E38" s="94"/>
      <c r="F38" s="94"/>
      <c r="G38" s="94"/>
    </row>
    <row r="39" spans="2:7">
      <c r="B39" s="94"/>
      <c r="C39" s="94"/>
      <c r="D39" s="94"/>
      <c r="E39" s="94"/>
      <c r="F39" s="94"/>
      <c r="G39" s="94"/>
    </row>
    <row r="40" spans="2:7">
      <c r="B40" s="94"/>
      <c r="C40" s="94"/>
      <c r="D40" s="94"/>
      <c r="E40" s="94"/>
      <c r="F40" s="94"/>
      <c r="G40" s="94"/>
    </row>
    <row r="41" spans="2:7">
      <c r="B41" s="94"/>
      <c r="C41" s="94"/>
      <c r="D41" s="94"/>
      <c r="E41" s="94"/>
      <c r="F41" s="94"/>
      <c r="G41" s="94"/>
    </row>
    <row r="42" spans="2:7">
      <c r="B42" s="94"/>
      <c r="C42" s="94"/>
      <c r="D42" s="94"/>
      <c r="E42" s="94"/>
      <c r="F42" s="94"/>
      <c r="G42" s="94"/>
    </row>
    <row r="43" spans="2:7">
      <c r="B43" s="94"/>
      <c r="C43" s="94"/>
      <c r="D43" s="94"/>
      <c r="E43" s="94"/>
      <c r="F43" s="94"/>
      <c r="G43" s="94"/>
    </row>
    <row r="44" spans="2:7">
      <c r="B44" s="94"/>
      <c r="C44" s="94"/>
      <c r="D44" s="94"/>
      <c r="E44" s="94"/>
      <c r="F44" s="94"/>
      <c r="G44" s="94"/>
    </row>
    <row r="45" spans="2:7">
      <c r="B45" s="94"/>
      <c r="C45" s="94"/>
      <c r="D45" s="94"/>
      <c r="E45" s="94"/>
      <c r="F45" s="94"/>
      <c r="G45" s="94"/>
    </row>
    <row r="46" spans="2:7">
      <c r="B46" s="94"/>
      <c r="C46" s="94"/>
      <c r="D46" s="94"/>
      <c r="E46" s="94"/>
      <c r="F46" s="94"/>
      <c r="G46" s="94"/>
    </row>
    <row r="47" spans="2:7">
      <c r="B47" s="94"/>
      <c r="C47" s="94"/>
      <c r="D47" s="94"/>
      <c r="E47" s="94"/>
      <c r="F47" s="94"/>
      <c r="G47" s="94"/>
    </row>
    <row r="48" spans="2:7">
      <c r="B48" s="94"/>
      <c r="C48" s="94"/>
      <c r="D48" s="94"/>
      <c r="E48" s="94"/>
      <c r="F48" s="94"/>
      <c r="G48" s="94"/>
    </row>
    <row r="49" spans="2:7">
      <c r="B49" s="94"/>
      <c r="C49" s="94"/>
      <c r="D49" s="94"/>
      <c r="E49" s="94"/>
      <c r="F49" s="94"/>
      <c r="G49" s="94"/>
    </row>
    <row r="50" spans="2:7">
      <c r="B50" s="94"/>
      <c r="C50" s="94"/>
      <c r="D50" s="94"/>
      <c r="E50" s="94"/>
      <c r="F50" s="94"/>
      <c r="G50" s="94"/>
    </row>
    <row r="51" spans="2:7">
      <c r="B51" s="94"/>
      <c r="C51" s="94"/>
      <c r="D51" s="94"/>
      <c r="E51" s="94"/>
      <c r="F51" s="94"/>
      <c r="G51" s="94"/>
    </row>
    <row r="52" spans="2:7">
      <c r="B52" s="94"/>
      <c r="C52" s="94"/>
      <c r="D52" s="94"/>
      <c r="E52" s="94"/>
      <c r="F52" s="94"/>
      <c r="G52" s="94"/>
    </row>
    <row r="53" spans="2:7">
      <c r="B53" s="94"/>
      <c r="C53" s="94"/>
      <c r="D53" s="94"/>
      <c r="E53" s="94"/>
      <c r="F53" s="94"/>
      <c r="G53" s="94"/>
    </row>
    <row r="54" spans="2:7">
      <c r="B54" s="94"/>
      <c r="C54" s="94"/>
      <c r="D54" s="94"/>
      <c r="E54" s="94"/>
      <c r="F54" s="94"/>
      <c r="G54" s="94"/>
    </row>
    <row r="55" spans="2:7">
      <c r="B55" s="94"/>
      <c r="C55" s="94"/>
      <c r="D55" s="94"/>
      <c r="E55" s="94"/>
      <c r="F55" s="94"/>
      <c r="G55" s="94"/>
    </row>
    <row r="56" spans="2:7">
      <c r="B56" s="94"/>
      <c r="C56" s="94"/>
      <c r="D56" s="94"/>
      <c r="E56" s="94"/>
      <c r="F56" s="94"/>
      <c r="G56" s="94"/>
    </row>
    <row r="57" spans="2:7">
      <c r="B57" s="94"/>
      <c r="C57" s="94"/>
      <c r="D57" s="94"/>
      <c r="E57" s="94"/>
      <c r="F57" s="94"/>
      <c r="G57" s="94"/>
    </row>
    <row r="58" spans="2:7">
      <c r="B58" s="94"/>
      <c r="C58" s="94"/>
      <c r="D58" s="94"/>
      <c r="E58" s="94"/>
      <c r="F58" s="94"/>
      <c r="G58" s="94"/>
    </row>
    <row r="59" spans="2:7">
      <c r="B59" s="94"/>
      <c r="C59" s="94"/>
      <c r="D59" s="94"/>
      <c r="E59" s="94"/>
      <c r="F59" s="94"/>
      <c r="G59" s="94"/>
    </row>
    <row r="60" spans="2:7">
      <c r="B60" s="94"/>
      <c r="C60" s="94"/>
      <c r="D60" s="94"/>
      <c r="E60" s="94"/>
      <c r="F60" s="94"/>
      <c r="G60" s="94"/>
    </row>
    <row r="61" spans="2:7">
      <c r="B61" s="94"/>
      <c r="C61" s="94"/>
      <c r="D61" s="94"/>
      <c r="E61" s="94"/>
      <c r="F61" s="94"/>
      <c r="G61" s="94"/>
    </row>
    <row r="62" spans="2:7">
      <c r="B62" s="94"/>
      <c r="C62" s="94"/>
      <c r="D62" s="94"/>
      <c r="E62" s="94"/>
      <c r="F62" s="94"/>
      <c r="G62" s="94"/>
    </row>
    <row r="63" spans="2:7">
      <c r="B63" s="94"/>
      <c r="C63" s="94"/>
      <c r="D63" s="94"/>
      <c r="E63" s="94"/>
      <c r="F63" s="94"/>
      <c r="G63" s="94"/>
    </row>
    <row r="64" spans="2:7">
      <c r="B64" s="94"/>
      <c r="C64" s="94"/>
      <c r="D64" s="94"/>
      <c r="E64" s="94"/>
      <c r="F64" s="94"/>
      <c r="G64" s="94"/>
    </row>
    <row r="65" spans="2:7">
      <c r="B65" s="94"/>
      <c r="C65" s="94"/>
      <c r="D65" s="94"/>
      <c r="E65" s="94"/>
      <c r="F65" s="94"/>
      <c r="G65" s="94"/>
    </row>
    <row r="66" spans="2:7">
      <c r="B66" s="94"/>
      <c r="C66" s="94"/>
      <c r="D66" s="94"/>
      <c r="E66" s="94"/>
      <c r="F66" s="94"/>
      <c r="G66" s="94"/>
    </row>
    <row r="67" spans="2:7">
      <c r="B67" s="94"/>
      <c r="C67" s="94"/>
      <c r="D67" s="94"/>
      <c r="E67" s="94"/>
      <c r="F67" s="94"/>
      <c r="G67" s="94"/>
    </row>
    <row r="68" spans="2:7">
      <c r="B68" s="94"/>
      <c r="C68" s="94"/>
      <c r="D68" s="94"/>
      <c r="E68" s="94"/>
      <c r="F68" s="94"/>
      <c r="G68" s="94"/>
    </row>
    <row r="69" spans="2:7">
      <c r="B69" s="94"/>
      <c r="C69" s="94"/>
      <c r="D69" s="94"/>
      <c r="E69" s="94"/>
      <c r="F69" s="94"/>
      <c r="G69" s="94"/>
    </row>
    <row r="70" spans="2:7">
      <c r="B70" s="94"/>
      <c r="C70" s="94"/>
      <c r="D70" s="94"/>
      <c r="E70" s="94"/>
      <c r="F70" s="94"/>
      <c r="G70" s="94"/>
    </row>
    <row r="71" spans="2:7">
      <c r="B71" s="94"/>
      <c r="C71" s="94"/>
      <c r="D71" s="94"/>
      <c r="E71" s="94"/>
      <c r="F71" s="94"/>
      <c r="G71" s="94"/>
    </row>
    <row r="72" spans="2:7">
      <c r="B72" s="94"/>
      <c r="C72" s="94"/>
      <c r="D72" s="94"/>
      <c r="E72" s="94"/>
      <c r="F72" s="94"/>
      <c r="G72" s="94"/>
    </row>
    <row r="73" spans="2:7">
      <c r="B73" s="94"/>
      <c r="C73" s="94"/>
      <c r="D73" s="94"/>
      <c r="E73" s="94"/>
      <c r="F73" s="94"/>
      <c r="G73" s="94"/>
    </row>
    <row r="74" spans="2:7">
      <c r="B74" s="94"/>
      <c r="C74" s="94"/>
      <c r="D74" s="94"/>
      <c r="E74" s="94"/>
      <c r="F74" s="94"/>
      <c r="G74" s="94"/>
    </row>
    <row r="75" spans="2:7">
      <c r="B75" s="94"/>
      <c r="C75" s="94"/>
      <c r="D75" s="94"/>
      <c r="E75" s="94"/>
      <c r="F75" s="94"/>
      <c r="G75" s="94"/>
    </row>
    <row r="76" spans="2:7">
      <c r="B76" s="94"/>
      <c r="C76" s="94"/>
      <c r="D76" s="94"/>
      <c r="E76" s="94"/>
      <c r="F76" s="94"/>
      <c r="G76" s="94"/>
    </row>
    <row r="77" spans="2:7">
      <c r="B77" s="94"/>
      <c r="C77" s="94"/>
      <c r="D77" s="94"/>
      <c r="E77" s="94"/>
      <c r="F77" s="94"/>
      <c r="G77" s="94"/>
    </row>
    <row r="78" spans="2:7">
      <c r="B78" s="94"/>
      <c r="C78" s="94"/>
      <c r="D78" s="94"/>
      <c r="E78" s="94"/>
      <c r="F78" s="94"/>
      <c r="G78" s="94"/>
    </row>
    <row r="79" spans="2:7">
      <c r="B79" s="94"/>
      <c r="C79" s="94"/>
      <c r="D79" s="94"/>
      <c r="E79" s="94"/>
      <c r="F79" s="94"/>
      <c r="G79" s="94"/>
    </row>
    <row r="80" spans="2:7">
      <c r="B80" s="94"/>
      <c r="C80" s="94"/>
      <c r="D80" s="94"/>
      <c r="E80" s="94"/>
      <c r="F80" s="94"/>
      <c r="G80" s="94"/>
    </row>
    <row r="81" spans="2:7">
      <c r="B81" s="94"/>
      <c r="C81" s="94"/>
      <c r="D81" s="94"/>
      <c r="E81" s="94"/>
      <c r="F81" s="94"/>
      <c r="G81" s="94"/>
    </row>
    <row r="82" spans="2:7">
      <c r="B82" s="94"/>
      <c r="C82" s="94"/>
      <c r="D82" s="94"/>
      <c r="E82" s="94"/>
      <c r="F82" s="94"/>
      <c r="G82" s="94"/>
    </row>
    <row r="83" spans="2:7">
      <c r="B83" s="94"/>
      <c r="C83" s="94"/>
      <c r="D83" s="94"/>
      <c r="E83" s="94"/>
      <c r="F83" s="94"/>
      <c r="G83" s="94"/>
    </row>
    <row r="84" spans="2:7">
      <c r="B84" s="94"/>
      <c r="C84" s="94"/>
      <c r="D84" s="94"/>
      <c r="E84" s="94"/>
      <c r="F84" s="94"/>
      <c r="G84" s="94"/>
    </row>
    <row r="85" spans="2:7">
      <c r="B85" s="94"/>
      <c r="C85" s="94"/>
      <c r="D85" s="94"/>
      <c r="E85" s="94"/>
      <c r="F85" s="94"/>
      <c r="G85" s="94"/>
    </row>
    <row r="86" spans="2:7">
      <c r="B86" s="94"/>
      <c r="C86" s="94"/>
      <c r="D86" s="94"/>
      <c r="E86" s="94"/>
      <c r="F86" s="94"/>
      <c r="G86" s="94"/>
    </row>
    <row r="87" spans="2:7">
      <c r="B87" s="94"/>
      <c r="C87" s="94"/>
      <c r="D87" s="94"/>
      <c r="E87" s="94"/>
      <c r="F87" s="94"/>
      <c r="G87" s="94"/>
    </row>
    <row r="88" spans="2:7">
      <c r="B88" s="94"/>
      <c r="C88" s="94"/>
      <c r="D88" s="94"/>
      <c r="E88" s="94"/>
      <c r="F88" s="94"/>
      <c r="G88" s="94"/>
    </row>
    <row r="89" spans="2:7">
      <c r="B89" s="94"/>
      <c r="C89" s="94"/>
      <c r="D89" s="94"/>
      <c r="E89" s="94"/>
      <c r="F89" s="94"/>
      <c r="G89" s="94"/>
    </row>
    <row r="90" spans="2:7">
      <c r="B90" s="94"/>
      <c r="C90" s="94"/>
      <c r="D90" s="94"/>
      <c r="E90" s="94"/>
      <c r="F90" s="94"/>
      <c r="G90" s="94"/>
    </row>
    <row r="91" spans="2:7">
      <c r="B91" s="94"/>
      <c r="C91" s="94"/>
      <c r="D91" s="94"/>
      <c r="E91" s="94"/>
      <c r="F91" s="94"/>
      <c r="G91" s="94"/>
    </row>
    <row r="92" spans="2:7">
      <c r="B92" s="94"/>
      <c r="C92" s="94"/>
      <c r="D92" s="94"/>
      <c r="E92" s="94"/>
      <c r="F92" s="94"/>
      <c r="G92" s="94"/>
    </row>
    <row r="93" spans="2:7">
      <c r="B93" s="94"/>
      <c r="C93" s="94"/>
      <c r="D93" s="94"/>
      <c r="E93" s="94"/>
      <c r="F93" s="94"/>
      <c r="G93" s="94"/>
    </row>
    <row r="94" spans="2:7">
      <c r="B94" s="94"/>
      <c r="C94" s="94"/>
      <c r="D94" s="94"/>
      <c r="E94" s="94"/>
      <c r="F94" s="94"/>
      <c r="G94" s="94"/>
    </row>
    <row r="95" spans="2:7">
      <c r="B95" s="94"/>
      <c r="C95" s="94"/>
      <c r="D95" s="94"/>
      <c r="E95" s="94"/>
      <c r="F95" s="94"/>
      <c r="G95" s="94"/>
    </row>
    <row r="96" spans="2:7">
      <c r="B96" s="94"/>
      <c r="C96" s="94"/>
      <c r="D96" s="94"/>
      <c r="E96" s="94"/>
      <c r="F96" s="94"/>
      <c r="G96" s="94"/>
    </row>
    <row r="97" spans="2:7">
      <c r="B97" s="94"/>
      <c r="C97" s="94"/>
      <c r="D97" s="94"/>
      <c r="E97" s="94"/>
      <c r="F97" s="94"/>
      <c r="G97" s="94"/>
    </row>
    <row r="98" spans="2:7">
      <c r="B98" s="94"/>
      <c r="C98" s="94"/>
      <c r="D98" s="94"/>
      <c r="E98" s="94"/>
      <c r="F98" s="94"/>
      <c r="G98" s="94"/>
    </row>
    <row r="99" spans="2:7">
      <c r="B99" s="94"/>
      <c r="C99" s="94"/>
      <c r="D99" s="94"/>
      <c r="E99" s="94"/>
      <c r="F99" s="94"/>
      <c r="G99" s="94"/>
    </row>
    <row r="100" spans="2:7">
      <c r="B100" s="94"/>
      <c r="C100" s="94"/>
      <c r="D100" s="94"/>
      <c r="E100" s="94"/>
      <c r="F100" s="94"/>
      <c r="G100" s="94"/>
    </row>
    <row r="101" spans="2:7">
      <c r="B101" s="94"/>
      <c r="C101" s="94"/>
      <c r="D101" s="94"/>
      <c r="E101" s="94"/>
      <c r="F101" s="94"/>
      <c r="G101" s="94"/>
    </row>
    <row r="102" spans="2:7">
      <c r="B102" s="94"/>
      <c r="C102" s="94"/>
      <c r="D102" s="94"/>
      <c r="E102" s="94"/>
      <c r="F102" s="94"/>
      <c r="G102" s="94"/>
    </row>
    <row r="103" spans="2:7">
      <c r="B103" s="94"/>
      <c r="C103" s="94"/>
      <c r="D103" s="94"/>
      <c r="E103" s="94"/>
      <c r="F103" s="94"/>
      <c r="G103" s="94"/>
    </row>
    <row r="104" spans="2:7">
      <c r="B104" s="94"/>
      <c r="C104" s="94"/>
      <c r="D104" s="94"/>
      <c r="E104" s="94"/>
      <c r="F104" s="94"/>
      <c r="G104" s="94"/>
    </row>
    <row r="105" spans="2:7">
      <c r="B105" s="94"/>
      <c r="C105" s="94"/>
      <c r="D105" s="94"/>
      <c r="E105" s="94"/>
      <c r="F105" s="94"/>
      <c r="G105" s="94"/>
    </row>
    <row r="106" spans="2:7">
      <c r="B106" s="94"/>
      <c r="C106" s="94"/>
      <c r="D106" s="94"/>
      <c r="E106" s="94"/>
      <c r="F106" s="94"/>
      <c r="G106" s="94"/>
    </row>
    <row r="107" spans="2:7">
      <c r="B107" s="94"/>
      <c r="C107" s="94"/>
      <c r="D107" s="94"/>
      <c r="E107" s="94"/>
      <c r="F107" s="94"/>
      <c r="G107" s="94"/>
    </row>
    <row r="108" spans="2:7">
      <c r="B108" s="94"/>
      <c r="C108" s="94"/>
      <c r="D108" s="94"/>
      <c r="E108" s="94"/>
      <c r="F108" s="94"/>
      <c r="G108" s="94"/>
    </row>
    <row r="109" spans="2:7">
      <c r="B109" s="94"/>
      <c r="C109" s="94"/>
      <c r="D109" s="94"/>
      <c r="E109" s="94"/>
      <c r="F109" s="94"/>
      <c r="G109" s="94"/>
    </row>
    <row r="110" spans="2:7">
      <c r="B110" s="94"/>
      <c r="C110" s="94"/>
      <c r="D110" s="94"/>
      <c r="E110" s="94"/>
      <c r="F110" s="94"/>
      <c r="G110" s="94"/>
    </row>
    <row r="111" spans="2:7">
      <c r="B111" s="94"/>
      <c r="C111" s="94"/>
      <c r="D111" s="94"/>
      <c r="E111" s="94"/>
      <c r="F111" s="94"/>
      <c r="G111" s="94"/>
    </row>
  </sheetData>
  <mergeCells count="25">
    <mergeCell ref="A1:G1"/>
    <mergeCell ref="A2:G2"/>
    <mergeCell ref="A3:G3"/>
    <mergeCell ref="A4:A5"/>
    <mergeCell ref="B4:B5"/>
    <mergeCell ref="C4:C5"/>
    <mergeCell ref="D4:E4"/>
    <mergeCell ref="F4:G4"/>
    <mergeCell ref="F5:G5"/>
    <mergeCell ref="F6:G6"/>
    <mergeCell ref="F7:G7"/>
    <mergeCell ref="F8:G8"/>
    <mergeCell ref="F9:G9"/>
    <mergeCell ref="F11:G11"/>
    <mergeCell ref="F10:G10"/>
    <mergeCell ref="G13:G14"/>
    <mergeCell ref="A16:B16"/>
    <mergeCell ref="A17:B17"/>
    <mergeCell ref="A19:G19"/>
    <mergeCell ref="A13:B14"/>
    <mergeCell ref="C13:C14"/>
    <mergeCell ref="D13:D14"/>
    <mergeCell ref="E13:E14"/>
    <mergeCell ref="F13:F14"/>
    <mergeCell ref="A15:B15"/>
  </mergeCells>
  <phoneticPr fontId="5" type="noConversion"/>
  <pageMargins left="0.7" right="0.7" top="0.75" bottom="0.75" header="0.3" footer="0.3"/>
  <pageSetup paperSize="9" scale="86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topLeftCell="A3" zoomScale="85" zoomScaleNormal="85" workbookViewId="0">
      <selection activeCell="B6" sqref="B6:F6"/>
    </sheetView>
  </sheetViews>
  <sheetFormatPr defaultRowHeight="16.5"/>
  <cols>
    <col min="1" max="1" width="16.125" style="336" customWidth="1"/>
    <col min="2" max="7" width="11.125" style="336" customWidth="1"/>
  </cols>
  <sheetData>
    <row r="1" spans="1:7" s="336" customFormat="1" ht="27.75">
      <c r="A1" s="587" t="s">
        <v>1085</v>
      </c>
      <c r="B1" s="588"/>
      <c r="C1" s="588"/>
      <c r="D1" s="588"/>
      <c r="E1" s="588"/>
      <c r="F1" s="588"/>
      <c r="G1" s="588"/>
    </row>
    <row r="2" spans="1:7" s="336" customFormat="1" ht="35.1" customHeight="1">
      <c r="A2" s="337"/>
    </row>
    <row r="3" spans="1:7" s="336" customFormat="1" ht="66" customHeight="1">
      <c r="A3" s="589" t="str">
        <f>"    本公司同意承攬 貴局「濁水溪許厝寮堤段整體環境改善工程」辦理第一次修正施工(變更設計)預算："</f>
        <v xml:space="preserve">    本公司同意承攬 貴局「濁水溪許厝寮堤段整體環境改善工程」辦理第一次修正施工(變更設計)預算：</v>
      </c>
      <c r="B3" s="590"/>
      <c r="C3" s="590"/>
      <c r="D3" s="590"/>
      <c r="E3" s="590"/>
      <c r="F3" s="590"/>
      <c r="G3" s="590"/>
    </row>
    <row r="4" spans="1:7" s="336" customFormat="1" ht="39.950000000000003" customHeight="1">
      <c r="A4" s="338"/>
      <c r="B4" s="339"/>
      <c r="C4" s="339"/>
      <c r="D4" s="339"/>
      <c r="E4" s="339"/>
      <c r="F4" s="339"/>
      <c r="G4" s="339"/>
    </row>
    <row r="5" spans="1:7" s="336" customFormat="1" ht="30" customHeight="1">
      <c r="A5" s="589" t="s">
        <v>1086</v>
      </c>
      <c r="B5" s="591"/>
      <c r="C5" s="591"/>
      <c r="D5" s="591"/>
      <c r="E5" s="591"/>
      <c r="F5" s="591"/>
      <c r="G5" s="591"/>
    </row>
    <row r="6" spans="1:7" s="336" customFormat="1" ht="30" customHeight="1">
      <c r="A6" s="340" t="s">
        <v>1087</v>
      </c>
      <c r="B6" s="592">
        <f>第一次變更總表!K15</f>
        <v>47231665</v>
      </c>
      <c r="C6" s="592"/>
      <c r="D6" s="592"/>
      <c r="E6" s="592"/>
      <c r="F6" s="592"/>
      <c r="G6" s="341" t="s">
        <v>1088</v>
      </c>
    </row>
    <row r="7" spans="1:7" s="336" customFormat="1" ht="20.100000000000001" customHeight="1">
      <c r="A7" s="340"/>
      <c r="B7" s="342"/>
      <c r="C7" s="342"/>
      <c r="D7" s="342"/>
      <c r="E7" s="342"/>
      <c r="F7" s="342"/>
      <c r="G7" s="341"/>
    </row>
    <row r="8" spans="1:7" s="336" customFormat="1" ht="30" customHeight="1">
      <c r="A8" s="589" t="s">
        <v>1089</v>
      </c>
      <c r="B8" s="591"/>
      <c r="C8" s="591"/>
      <c r="D8" s="591"/>
      <c r="E8" s="591"/>
      <c r="F8" s="591"/>
      <c r="G8" s="591"/>
    </row>
    <row r="9" spans="1:7" s="336" customFormat="1" ht="30" customHeight="1">
      <c r="A9" s="340" t="s">
        <v>1087</v>
      </c>
      <c r="B9" s="586">
        <f>第一次變更總表!J15</f>
        <v>46548000</v>
      </c>
      <c r="C9" s="586"/>
      <c r="D9" s="586"/>
      <c r="E9" s="586"/>
      <c r="F9" s="586"/>
      <c r="G9" s="341" t="s">
        <v>1088</v>
      </c>
    </row>
    <row r="10" spans="1:7" s="336" customFormat="1" ht="30" customHeight="1">
      <c r="A10" s="343"/>
      <c r="B10" s="344"/>
      <c r="C10" s="344"/>
      <c r="D10" s="344"/>
      <c r="E10" s="344"/>
      <c r="F10" s="344"/>
      <c r="G10" s="345"/>
    </row>
    <row r="11" spans="1:7" s="336" customFormat="1" ht="45" customHeight="1">
      <c r="A11" s="593" t="s">
        <v>1090</v>
      </c>
      <c r="B11" s="590"/>
      <c r="C11" s="590"/>
      <c r="D11" s="590"/>
      <c r="E11" s="590"/>
      <c r="F11" s="590"/>
      <c r="G11" s="590"/>
    </row>
    <row r="12" spans="1:7" s="336" customFormat="1" ht="69.95" customHeight="1"/>
    <row r="13" spans="1:7" s="336" customFormat="1" ht="35.1" customHeight="1">
      <c r="A13" s="346" t="s">
        <v>1091</v>
      </c>
    </row>
    <row r="14" spans="1:7" s="336" customFormat="1" ht="21">
      <c r="A14" s="337"/>
    </row>
    <row r="15" spans="1:7" s="336" customFormat="1" ht="21">
      <c r="A15" s="337" t="s">
        <v>1092</v>
      </c>
    </row>
    <row r="16" spans="1:7" s="336" customFormat="1" ht="18.95" customHeight="1">
      <c r="A16" s="337"/>
    </row>
    <row r="17" spans="1:7" s="336" customFormat="1" ht="18.95" customHeight="1">
      <c r="A17" s="337"/>
    </row>
    <row r="18" spans="1:7" s="336" customFormat="1" ht="35.1" customHeight="1">
      <c r="A18" s="594" t="s">
        <v>1351</v>
      </c>
      <c r="B18" s="590"/>
      <c r="C18" s="590"/>
      <c r="D18" s="590"/>
      <c r="E18" s="590"/>
      <c r="F18" s="590"/>
      <c r="G18" s="590"/>
    </row>
    <row r="19" spans="1:7" s="336" customFormat="1" ht="35.1" customHeight="1">
      <c r="A19" s="595" t="s">
        <v>1352</v>
      </c>
      <c r="B19" s="590"/>
      <c r="C19" s="590"/>
      <c r="D19" s="590"/>
      <c r="E19" s="590"/>
      <c r="F19" s="590"/>
      <c r="G19" s="590"/>
    </row>
    <row r="20" spans="1:7" s="336" customFormat="1" ht="35.1" customHeight="1">
      <c r="A20" s="595" t="s">
        <v>1353</v>
      </c>
      <c r="B20" s="590"/>
      <c r="C20" s="590"/>
      <c r="D20" s="590"/>
      <c r="E20" s="590"/>
      <c r="F20" s="590"/>
      <c r="G20" s="590"/>
    </row>
    <row r="21" spans="1:7" s="336" customFormat="1" ht="21">
      <c r="A21" s="337"/>
    </row>
    <row r="22" spans="1:7" s="336" customFormat="1" ht="21">
      <c r="A22" s="337"/>
    </row>
    <row r="23" spans="1:7" s="336" customFormat="1" ht="30" customHeight="1">
      <c r="A23" s="596" t="s">
        <v>1093</v>
      </c>
      <c r="B23" s="597"/>
      <c r="C23" s="597"/>
      <c r="D23" s="597"/>
      <c r="E23" s="597"/>
      <c r="F23" s="597"/>
      <c r="G23" s="597"/>
    </row>
  </sheetData>
  <mergeCells count="11">
    <mergeCell ref="A11:G11"/>
    <mergeCell ref="A18:G18"/>
    <mergeCell ref="A19:G19"/>
    <mergeCell ref="A20:G20"/>
    <mergeCell ref="A23:G23"/>
    <mergeCell ref="B9:F9"/>
    <mergeCell ref="A1:G1"/>
    <mergeCell ref="A3:G3"/>
    <mergeCell ref="A5:G5"/>
    <mergeCell ref="B6:F6"/>
    <mergeCell ref="A8:G8"/>
  </mergeCells>
  <phoneticPr fontId="5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已命名的範圍</vt:lpstr>
      </vt:variant>
      <vt:variant>
        <vt:i4>16</vt:i4>
      </vt:variant>
    </vt:vector>
  </HeadingPairs>
  <TitlesOfParts>
    <vt:vector size="29" baseType="lpstr">
      <vt:lpstr>Sheet4 (2)</vt:lpstr>
      <vt:lpstr>封面 (2)</vt:lpstr>
      <vt:lpstr>基本單價分析</vt:lpstr>
      <vt:lpstr>04說明書</vt:lpstr>
      <vt:lpstr>02變更設計說明書(1)</vt:lpstr>
      <vt:lpstr>03變更設計說明書(2)</vt:lpstr>
      <vt:lpstr>04變更設計說明書(3)</vt:lpstr>
      <vt:lpstr>05變更設計說明書(4)</vt:lpstr>
      <vt:lpstr>同意書</vt:lpstr>
      <vt:lpstr>第一次變更總表</vt:lpstr>
      <vt:lpstr>第一次變更詳細表</vt:lpstr>
      <vt:lpstr>新增單價分析表</vt:lpstr>
      <vt:lpstr>數量計算表</vt:lpstr>
      <vt:lpstr>'02變更設計說明書(1)'!Print_Area</vt:lpstr>
      <vt:lpstr>'03變更設計說明書(2)'!Print_Area</vt:lpstr>
      <vt:lpstr>'04說明書'!Print_Area</vt:lpstr>
      <vt:lpstr>'04變更設計說明書(3)'!Print_Area</vt:lpstr>
      <vt:lpstr>'05變更設計說明書(4)'!Print_Area</vt:lpstr>
      <vt:lpstr>同意書!Print_Area</vt:lpstr>
      <vt:lpstr>'封面 (2)'!Print_Area</vt:lpstr>
      <vt:lpstr>基本單價分析!Print_Area</vt:lpstr>
      <vt:lpstr>第一次變更詳細表!Print_Area</vt:lpstr>
      <vt:lpstr>第一次變更總表!Print_Area</vt:lpstr>
      <vt:lpstr>新增單價分析表!Print_Area</vt:lpstr>
      <vt:lpstr>數量計算表!Print_Area</vt:lpstr>
      <vt:lpstr>基本單價分析!Print_Titles</vt:lpstr>
      <vt:lpstr>第一次變更詳細表!Print_Titles</vt:lpstr>
      <vt:lpstr>新增單價分析表!Print_Titles</vt:lpstr>
      <vt:lpstr>數量計算表!Print_Titles</vt:lpstr>
    </vt:vector>
  </TitlesOfParts>
  <Company>SSECC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Chou</dc:creator>
  <cp:lastModifiedBy>吳宗富</cp:lastModifiedBy>
  <cp:lastPrinted>2022-05-06T03:48:10Z</cp:lastPrinted>
  <dcterms:created xsi:type="dcterms:W3CDTF">2001-03-23T07:04:54Z</dcterms:created>
  <dcterms:modified xsi:type="dcterms:W3CDTF">2022-05-12T02:10:22Z</dcterms:modified>
</cp:coreProperties>
</file>